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orp\shares\home\marzes\My Documents\Postings\23-24 BRA\2022-06-21 BRA Results\"/>
    </mc:Choice>
  </mc:AlternateContent>
  <bookViews>
    <workbookView xWindow="0" yWindow="0" windowWidth="28800" windowHeight="12300" tabRatio="691"/>
  </bookViews>
  <sheets>
    <sheet name="Planning Parameters" sheetId="1" r:id="rId1"/>
    <sheet name="Net CONE" sheetId="2" r:id="rId2"/>
    <sheet name="Key Transmission Upgrades"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1" l="1"/>
  <c r="I39" i="2" l="1"/>
  <c r="I30" i="2"/>
  <c r="I31" i="2"/>
  <c r="I32" i="2"/>
  <c r="I33" i="2"/>
  <c r="I34" i="2"/>
  <c r="I35" i="2"/>
  <c r="I36" i="2"/>
  <c r="I37" i="2"/>
  <c r="I38" i="2"/>
  <c r="I29" i="2"/>
  <c r="I25" i="2"/>
  <c r="I26" i="2"/>
  <c r="I24" i="2"/>
  <c r="I21" i="2"/>
  <c r="I20" i="2"/>
  <c r="I13" i="2"/>
  <c r="I14" i="2"/>
  <c r="I15" i="2"/>
  <c r="I16" i="2"/>
  <c r="I17" i="2"/>
  <c r="I12" i="2"/>
  <c r="F67" i="1" l="1"/>
  <c r="F60" i="1"/>
  <c r="C28" i="2" l="1"/>
  <c r="C23" i="2"/>
  <c r="C19" i="2"/>
  <c r="C11" i="2"/>
  <c r="D50" i="1" l="1"/>
  <c r="H39" i="2"/>
  <c r="H75" i="1" l="1"/>
  <c r="E67" i="1" l="1"/>
  <c r="H4" i="2"/>
  <c r="E11" i="2" l="1"/>
  <c r="E39" i="2"/>
  <c r="E28" i="2"/>
  <c r="E23" i="2"/>
  <c r="E19" i="2"/>
  <c r="I47" i="1"/>
  <c r="C11" i="1" l="1"/>
  <c r="F71" i="1" l="1"/>
  <c r="F72" i="1"/>
  <c r="F73" i="1"/>
  <c r="G68" i="1"/>
  <c r="G70" i="1"/>
  <c r="D26" i="1" l="1"/>
  <c r="D11" i="2" l="1"/>
  <c r="G39" i="2" l="1"/>
  <c r="B39" i="2"/>
  <c r="H38" i="2"/>
  <c r="H37" i="2"/>
  <c r="H36" i="2"/>
  <c r="H35" i="2"/>
  <c r="H34" i="2"/>
  <c r="H33" i="2"/>
  <c r="H32" i="2"/>
  <c r="H31" i="2"/>
  <c r="H30" i="2"/>
  <c r="H29" i="2"/>
  <c r="D28" i="2"/>
  <c r="H26" i="2"/>
  <c r="H25" i="2"/>
  <c r="H24" i="2"/>
  <c r="D23" i="2"/>
  <c r="H21" i="2"/>
  <c r="H20" i="2"/>
  <c r="D19" i="2"/>
  <c r="H17" i="2"/>
  <c r="H16" i="2"/>
  <c r="H15" i="2"/>
  <c r="H14" i="2"/>
  <c r="H13" i="2"/>
  <c r="H12" i="2"/>
  <c r="J12" i="2" s="1"/>
  <c r="H73" i="1"/>
  <c r="H72" i="1"/>
  <c r="E13" i="1" s="1"/>
  <c r="E14" i="1" s="1"/>
  <c r="D72" i="1"/>
  <c r="H71" i="1"/>
  <c r="D71" i="1"/>
  <c r="I70" i="1"/>
  <c r="I69" i="1"/>
  <c r="D69" i="1"/>
  <c r="I68" i="1"/>
  <c r="D68" i="1"/>
  <c r="E46" i="1"/>
  <c r="I66" i="1"/>
  <c r="G66" i="1"/>
  <c r="D66" i="1"/>
  <c r="I65" i="1"/>
  <c r="G65" i="1"/>
  <c r="I64" i="1"/>
  <c r="G64" i="1"/>
  <c r="I63" i="1"/>
  <c r="G63" i="1"/>
  <c r="I62" i="1"/>
  <c r="G62" i="1"/>
  <c r="I61" i="1"/>
  <c r="G61" i="1"/>
  <c r="I59" i="1"/>
  <c r="D59" i="1"/>
  <c r="I58" i="1"/>
  <c r="G58" i="1"/>
  <c r="I57" i="1"/>
  <c r="G57" i="1"/>
  <c r="I56" i="1"/>
  <c r="G56" i="1"/>
  <c r="I55" i="1"/>
  <c r="G55" i="1"/>
  <c r="D55" i="1"/>
  <c r="I54" i="1"/>
  <c r="G54" i="1"/>
  <c r="D54" i="1"/>
  <c r="I53" i="1"/>
  <c r="G53" i="1"/>
  <c r="I52" i="1"/>
  <c r="G52" i="1"/>
  <c r="D52" i="1"/>
  <c r="D51" i="1"/>
  <c r="I50" i="1"/>
  <c r="G50" i="1"/>
  <c r="I49" i="1"/>
  <c r="G49" i="1"/>
  <c r="I48" i="1"/>
  <c r="G48" i="1"/>
  <c r="G47" i="1"/>
  <c r="H46" i="1"/>
  <c r="M32" i="1"/>
  <c r="I32" i="1"/>
  <c r="H32" i="1"/>
  <c r="E32" i="1"/>
  <c r="D32" i="1"/>
  <c r="C32" i="1"/>
  <c r="B32" i="1"/>
  <c r="E26" i="1"/>
  <c r="C26" i="1"/>
  <c r="B26" i="1" s="1"/>
  <c r="F14" i="1"/>
  <c r="P13" i="1"/>
  <c r="P14" i="1" s="1"/>
  <c r="O13" i="1"/>
  <c r="O14" i="1" s="1"/>
  <c r="O15" i="1" s="1"/>
  <c r="N13" i="1"/>
  <c r="N14" i="1" s="1"/>
  <c r="N15" i="1" s="1"/>
  <c r="M13" i="1"/>
  <c r="M14" i="1" s="1"/>
  <c r="L13" i="1"/>
  <c r="L14" i="1" s="1"/>
  <c r="K13" i="1"/>
  <c r="K14" i="1" s="1"/>
  <c r="K15" i="1" s="1"/>
  <c r="J13" i="1"/>
  <c r="J14" i="1" s="1"/>
  <c r="I13" i="1"/>
  <c r="I14" i="1" s="1"/>
  <c r="I15" i="1" s="1"/>
  <c r="H13" i="1"/>
  <c r="H14" i="1" s="1"/>
  <c r="H15" i="1" s="1"/>
  <c r="G13" i="1"/>
  <c r="G14" i="1" s="1"/>
  <c r="G15" i="1" s="1"/>
  <c r="F13" i="1"/>
  <c r="D13" i="1"/>
  <c r="D14" i="1" s="1"/>
  <c r="P11" i="1"/>
  <c r="O11" i="1"/>
  <c r="N11" i="1"/>
  <c r="M11" i="1"/>
  <c r="L11" i="1"/>
  <c r="K11" i="1"/>
  <c r="J11" i="1"/>
  <c r="I11" i="1"/>
  <c r="H11" i="1"/>
  <c r="G11" i="1"/>
  <c r="F11" i="1"/>
  <c r="E11" i="1"/>
  <c r="D11" i="1"/>
  <c r="P10" i="1"/>
  <c r="O10" i="1"/>
  <c r="N10" i="1"/>
  <c r="M10" i="1"/>
  <c r="L10" i="1"/>
  <c r="K10" i="1"/>
  <c r="J10" i="1"/>
  <c r="I10" i="1"/>
  <c r="H10" i="1"/>
  <c r="G10" i="1"/>
  <c r="F10" i="1"/>
  <c r="E10" i="1"/>
  <c r="D10" i="1"/>
  <c r="C10" i="1"/>
  <c r="J38" i="2" l="1"/>
  <c r="J31" i="2"/>
  <c r="J36" i="2"/>
  <c r="D39" i="2"/>
  <c r="J20" i="2"/>
  <c r="J21" i="2"/>
  <c r="I17" i="1" s="1"/>
  <c r="I38" i="1" s="1"/>
  <c r="E42" i="1"/>
  <c r="F42" i="1"/>
  <c r="M42" i="1"/>
  <c r="J42" i="1"/>
  <c r="B13" i="1"/>
  <c r="B14" i="1" s="1"/>
  <c r="P42" i="1"/>
  <c r="P15" i="1" s="1"/>
  <c r="L42" i="1"/>
  <c r="L15" i="1" s="1"/>
  <c r="E38" i="2"/>
  <c r="E22" i="2"/>
  <c r="E16" i="1" s="1"/>
  <c r="F15" i="1"/>
  <c r="F23" i="1" s="1"/>
  <c r="H74" i="1"/>
  <c r="C13" i="1" s="1"/>
  <c r="C14" i="1" s="1"/>
  <c r="M15" i="1"/>
  <c r="M24" i="1" s="1"/>
  <c r="M34" i="1" s="1"/>
  <c r="G67" i="1"/>
  <c r="D42" i="1"/>
  <c r="D15" i="1" s="1"/>
  <c r="D25" i="1" s="1"/>
  <c r="I67" i="1"/>
  <c r="F74" i="1"/>
  <c r="J15" i="1"/>
  <c r="J25" i="1" s="1"/>
  <c r="E15" i="1"/>
  <c r="E24" i="1" s="1"/>
  <c r="E34" i="1" s="1"/>
  <c r="E26" i="2"/>
  <c r="N16" i="1" s="1"/>
  <c r="E25" i="2"/>
  <c r="E24" i="2"/>
  <c r="J13" i="2"/>
  <c r="H17" i="1" s="1"/>
  <c r="H38" i="1" s="1"/>
  <c r="J14" i="2"/>
  <c r="J15" i="2"/>
  <c r="J16" i="2"/>
  <c r="J17" i="2"/>
  <c r="J24" i="2"/>
  <c r="J25" i="2"/>
  <c r="J26" i="2"/>
  <c r="N17" i="1" s="1"/>
  <c r="J29" i="2"/>
  <c r="J30" i="2"/>
  <c r="J32" i="2"/>
  <c r="L17" i="1" s="1"/>
  <c r="L38" i="1" s="1"/>
  <c r="J33" i="2"/>
  <c r="O17" i="1" s="1"/>
  <c r="O38" i="1" s="1"/>
  <c r="J34" i="2"/>
  <c r="P17" i="1" s="1"/>
  <c r="P38" i="1" s="1"/>
  <c r="J35" i="2"/>
  <c r="J37" i="2"/>
  <c r="O23" i="1"/>
  <c r="O24" i="1"/>
  <c r="O25" i="1"/>
  <c r="H24" i="1"/>
  <c r="H34" i="1" s="1"/>
  <c r="H25" i="1"/>
  <c r="H23" i="1"/>
  <c r="H33" i="1" s="1"/>
  <c r="I25" i="1"/>
  <c r="I23" i="1"/>
  <c r="I33" i="1" s="1"/>
  <c r="I24" i="1"/>
  <c r="I34" i="1" s="1"/>
  <c r="N23" i="1"/>
  <c r="N24" i="1"/>
  <c r="N25" i="1"/>
  <c r="K23" i="1"/>
  <c r="K24" i="1"/>
  <c r="K25" i="1"/>
  <c r="G23" i="1"/>
  <c r="G24" i="1"/>
  <c r="G25" i="1"/>
  <c r="N21" i="1" l="1"/>
  <c r="N38" i="1"/>
  <c r="E35" i="2"/>
  <c r="E34" i="2"/>
  <c r="P16" i="1" s="1"/>
  <c r="P20" i="1" s="1"/>
  <c r="J39" i="2"/>
  <c r="B17" i="1" s="1"/>
  <c r="E30" i="2"/>
  <c r="E31" i="2"/>
  <c r="J16" i="1" s="1"/>
  <c r="I21" i="1"/>
  <c r="I29" i="1" s="1"/>
  <c r="F25" i="1"/>
  <c r="C42" i="1"/>
  <c r="C15" i="1" s="1"/>
  <c r="E37" i="2"/>
  <c r="E33" i="2"/>
  <c r="O16" i="1" s="1"/>
  <c r="O20" i="1" s="1"/>
  <c r="E29" i="2"/>
  <c r="E36" i="2"/>
  <c r="E32" i="2"/>
  <c r="L16" i="1" s="1"/>
  <c r="L20" i="1" s="1"/>
  <c r="M23" i="1"/>
  <c r="M33" i="1" s="1"/>
  <c r="M25" i="1"/>
  <c r="M37" i="1" s="1"/>
  <c r="P23" i="1"/>
  <c r="P24" i="1"/>
  <c r="P25" i="1"/>
  <c r="L23" i="1"/>
  <c r="L24" i="1"/>
  <c r="L25" i="1"/>
  <c r="E25" i="1"/>
  <c r="E37" i="1" s="1"/>
  <c r="F24" i="1"/>
  <c r="J24" i="1"/>
  <c r="J23" i="1"/>
  <c r="E23" i="1"/>
  <c r="E33" i="1" s="1"/>
  <c r="D24" i="1"/>
  <c r="D34" i="1" s="1"/>
  <c r="P21" i="1"/>
  <c r="B16" i="1"/>
  <c r="K16" i="1"/>
  <c r="L21" i="1"/>
  <c r="K17" i="1"/>
  <c r="K38" i="1" s="1"/>
  <c r="J17" i="1"/>
  <c r="J38" i="1" s="1"/>
  <c r="O21" i="1"/>
  <c r="N20" i="1"/>
  <c r="E21" i="2"/>
  <c r="I16" i="1" s="1"/>
  <c r="I20" i="1" s="1"/>
  <c r="I28" i="1" s="1"/>
  <c r="E20" i="2"/>
  <c r="M16" i="1" s="1"/>
  <c r="J22" i="2"/>
  <c r="I22" i="2" s="1"/>
  <c r="M17" i="1"/>
  <c r="M38" i="1" s="1"/>
  <c r="D23" i="1"/>
  <c r="D33" i="1" s="1"/>
  <c r="G17" i="1"/>
  <c r="G38" i="1" s="1"/>
  <c r="F17" i="1"/>
  <c r="F38" i="1" s="1"/>
  <c r="H21" i="1"/>
  <c r="H29" i="1" s="1"/>
  <c r="J27" i="2"/>
  <c r="I27" i="2" s="1"/>
  <c r="J18" i="2"/>
  <c r="E18" i="2"/>
  <c r="D16" i="1" s="1"/>
  <c r="E17" i="2"/>
  <c r="E16" i="2"/>
  <c r="E15" i="2"/>
  <c r="E14" i="2"/>
  <c r="E13" i="2"/>
  <c r="H16" i="1" s="1"/>
  <c r="H20" i="1" s="1"/>
  <c r="H28" i="1" s="1"/>
  <c r="E12" i="2"/>
  <c r="I37" i="1"/>
  <c r="H37" i="1"/>
  <c r="D37" i="1"/>
  <c r="B21" i="1" l="1"/>
  <c r="B29" i="1" s="1"/>
  <c r="B20" i="1"/>
  <c r="B28" i="1" s="1"/>
  <c r="I36" i="1"/>
  <c r="I35" i="1" s="1"/>
  <c r="E27" i="2"/>
  <c r="C16" i="1" s="1"/>
  <c r="C23" i="1"/>
  <c r="C33" i="1" s="1"/>
  <c r="C25" i="1"/>
  <c r="C37" i="1" s="1"/>
  <c r="C24" i="1"/>
  <c r="C34" i="1" s="1"/>
  <c r="J20" i="1"/>
  <c r="J21" i="1"/>
  <c r="K20" i="1"/>
  <c r="K21" i="1"/>
  <c r="M21" i="1"/>
  <c r="M20" i="1"/>
  <c r="M28" i="1" s="1"/>
  <c r="E17" i="1"/>
  <c r="E38" i="1" s="1"/>
  <c r="I18" i="2"/>
  <c r="D17" i="1"/>
  <c r="D38" i="1" s="1"/>
  <c r="C17" i="1"/>
  <c r="C38" i="1" s="1"/>
  <c r="F21" i="1"/>
  <c r="H36" i="1"/>
  <c r="H35" i="1" s="1"/>
  <c r="F16" i="1"/>
  <c r="F20" i="1" s="1"/>
  <c r="G16" i="1"/>
  <c r="G20" i="1" s="1"/>
  <c r="G21" i="1"/>
  <c r="E20" i="1" l="1"/>
  <c r="E28" i="1" s="1"/>
  <c r="E21" i="1"/>
  <c r="M29" i="1"/>
  <c r="M36" i="1"/>
  <c r="M35" i="1" s="1"/>
  <c r="D20" i="1"/>
  <c r="D28" i="1" s="1"/>
  <c r="D21" i="1"/>
  <c r="C20" i="1"/>
  <c r="C28" i="1" s="1"/>
  <c r="C21" i="1"/>
  <c r="E29" i="1" l="1"/>
  <c r="E36" i="1"/>
  <c r="E35" i="1" s="1"/>
  <c r="C29" i="1"/>
  <c r="C36" i="1"/>
  <c r="C35" i="1" s="1"/>
  <c r="D29" i="1"/>
  <c r="D36" i="1"/>
  <c r="D35" i="1" s="1"/>
  <c r="F75" i="1" l="1"/>
  <c r="I60" i="1"/>
  <c r="I46" i="1" s="1"/>
  <c r="F46" i="1"/>
  <c r="B7" i="1" s="1"/>
  <c r="B12" i="1" s="1"/>
  <c r="B15" i="1" s="1"/>
  <c r="B24" i="1" l="1"/>
  <c r="B34" i="1" s="1"/>
  <c r="B25" i="1"/>
  <c r="B23" i="1"/>
  <c r="B33" i="1" s="1"/>
  <c r="B36" i="1" l="1"/>
  <c r="B35" i="1" s="1"/>
  <c r="B37" i="1"/>
</calcChain>
</file>

<file path=xl/sharedStrings.xml><?xml version="1.0" encoding="utf-8"?>
<sst xmlns="http://schemas.openxmlformats.org/spreadsheetml/2006/main" count="676" uniqueCount="196">
  <si>
    <t xml:space="preserve"> </t>
  </si>
  <si>
    <t>RTO</t>
  </si>
  <si>
    <t>Notes:</t>
  </si>
  <si>
    <t xml:space="preserve">Installed Reserve Margin (IRM) </t>
  </si>
  <si>
    <t>Pool-Wide Average EFORd</t>
  </si>
  <si>
    <t>Forecast Pool Requirement (FPR)</t>
  </si>
  <si>
    <t>Preliminary Forecast Peak Load</t>
  </si>
  <si>
    <t>Locational Deliverability Area</t>
  </si>
  <si>
    <t>MAAC</t>
  </si>
  <si>
    <t>EMAAC</t>
  </si>
  <si>
    <t>SWMAAC</t>
  </si>
  <si>
    <t>PS</t>
  </si>
  <si>
    <t>PS NORTH</t>
  </si>
  <si>
    <t>DPL SOUTH</t>
  </si>
  <si>
    <t>PEPCO</t>
  </si>
  <si>
    <t>ATSI</t>
  </si>
  <si>
    <t>ATSI-Cleveland</t>
  </si>
  <si>
    <t>COMED</t>
  </si>
  <si>
    <t>BGE</t>
  </si>
  <si>
    <t>PL</t>
  </si>
  <si>
    <t>DAYTON</t>
  </si>
  <si>
    <t>DEOK</t>
  </si>
  <si>
    <t>CETO</t>
  </si>
  <si>
    <t>NA</t>
  </si>
  <si>
    <t>CETL</t>
  </si>
  <si>
    <t>Reliability Requirement</t>
  </si>
  <si>
    <t>Total Peak Load of FRR Entities</t>
  </si>
  <si>
    <t>Preliminary FRR Obligation</t>
  </si>
  <si>
    <t>Reliability Requirement adjusted for FRR</t>
  </si>
  <si>
    <t>Gross CONE, $/MW-Day (UCAP Price)</t>
  </si>
  <si>
    <t>Net CONE, $/MW-Day (UCAP Price)</t>
  </si>
  <si>
    <t>EE Addback (UCAP)</t>
  </si>
  <si>
    <t>Variable Resource Requirement Curve:</t>
  </si>
  <si>
    <t>Point (a) UCAP Price, $/MW-Day</t>
  </si>
  <si>
    <t>Point (b) UCAP Price, $/MW-Day</t>
  </si>
  <si>
    <t>Point (c) UCAP Price, $/MW-Day</t>
  </si>
  <si>
    <t>Point (a) UCAP Level, MW</t>
  </si>
  <si>
    <t>Point (b) UCAP Level, MW</t>
  </si>
  <si>
    <t>Point (c) UCAP Level, MW</t>
  </si>
  <si>
    <t>Nominated PRD Value, MW</t>
  </si>
  <si>
    <t>VRR Curve adjusted for PRD:</t>
  </si>
  <si>
    <t>Point (a1) UCAP Price, $/MW-Day</t>
  </si>
  <si>
    <t>Point (b1) UCAP Price, $/MW-Day</t>
  </si>
  <si>
    <t>Point (prd1) UCAP Price, $/MW-Day</t>
  </si>
  <si>
    <t>Point (prd2) UCAP Price, $/MW-Day</t>
  </si>
  <si>
    <t>Point (a1) UCAP Level, MW</t>
  </si>
  <si>
    <t>Point (b1) UCAP Level, MW</t>
  </si>
  <si>
    <t>Point (prd1) UCAP Level, MW</t>
  </si>
  <si>
    <t>Point (prd2) UCAP Level, MW</t>
  </si>
  <si>
    <t>Pre-Auction Credit Rate, $/MW</t>
  </si>
  <si>
    <t>Participant-Funded ICTRs Awarded</t>
  </si>
  <si>
    <t>FRR Load Requirement (% Obligation):</t>
  </si>
  <si>
    <t>Minimum Internal Resource Requirement</t>
  </si>
  <si>
    <t>LDA CETO/CETL Data; Zonal Peak Loads, Base Zonal FRR Scaling Factors, and FRR load.</t>
  </si>
  <si>
    <t>LDA/Zone</t>
  </si>
  <si>
    <t>CETL to CETO Ratio %</t>
  </si>
  <si>
    <t>Preliminary Zonal Peak Load Forecast</t>
  </si>
  <si>
    <t>Base Zonal FRR Scaling Factor</t>
  </si>
  <si>
    <t xml:space="preserve">FRR Portion of the Preliminary Peak Load Forecast       </t>
  </si>
  <si>
    <t>Preliminary Zonal Peak Load Forecast less FRR load</t>
  </si>
  <si>
    <t>AE</t>
  </si>
  <si>
    <t>&gt;115%</t>
  </si>
  <si>
    <t>AEP</t>
  </si>
  <si>
    <t>*</t>
  </si>
  <si>
    <t>APS</t>
  </si>
  <si>
    <t>ATSI-CLEVELAND</t>
  </si>
  <si>
    <t>DLCO</t>
  </si>
  <si>
    <t>DOM</t>
  </si>
  <si>
    <t>DPL</t>
  </si>
  <si>
    <t>EKPC</t>
  </si>
  <si>
    <t>JCPL</t>
  </si>
  <si>
    <t>METED</t>
  </si>
  <si>
    <t>OVEC</t>
  </si>
  <si>
    <t>PECO</t>
  </si>
  <si>
    <t>PENLC</t>
  </si>
  <si>
    <t>PL (incl. UGI)</t>
  </si>
  <si>
    <t>RECO</t>
  </si>
  <si>
    <t xml:space="preserve">  </t>
  </si>
  <si>
    <t>Western MAAC</t>
  </si>
  <si>
    <t>Western PJM</t>
  </si>
  <si>
    <t>* LDA has adequate internal resources to meet the reliability criterion.</t>
  </si>
  <si>
    <t>Limiting conditions at the CETL for modeled LDAs:</t>
  </si>
  <si>
    <t xml:space="preserve">LDA      </t>
  </si>
  <si>
    <t>Violation</t>
  </si>
  <si>
    <t>Limiting Facility</t>
  </si>
  <si>
    <t xml:space="preserve">Thermal </t>
  </si>
  <si>
    <t>Voltage</t>
  </si>
  <si>
    <t>Thermal</t>
  </si>
  <si>
    <t>PSNORTH</t>
  </si>
  <si>
    <t>DPLSOUTH</t>
  </si>
  <si>
    <t>ICAP to UCAP Conversion Factor:</t>
  </si>
  <si>
    <t>UCAP Price = ICAP Price / (1 - Pool-Wide Average EFORd)</t>
  </si>
  <si>
    <t>CONE Area 1: AE, DPL, JCPL, PECO, PS, RECO</t>
  </si>
  <si>
    <t>CONE Area 2: BGE, PEPCO</t>
  </si>
  <si>
    <t>CONE Area 3: AEP, APS, ATSI, ComEd, Dayton, DEOK, Dominion, Duquesne (DLCo), EKPC, OVEC</t>
  </si>
  <si>
    <t>CONE Area 4: MetEd, Penelec, PPL</t>
  </si>
  <si>
    <t>Zone/LDA</t>
  </si>
  <si>
    <t>2022/2023 BRA CONE: Levelized Revenue Requirement,     $/MW-Year *</t>
  </si>
  <si>
    <t>Escalation</t>
  </si>
  <si>
    <t>Gross CONE, $/MW-Day, UCAP Price</t>
  </si>
  <si>
    <t>Ancillary Services Offset,          $/MW-Year        per Tariff</t>
  </si>
  <si>
    <t>Net E&amp;AS Revenue Offset, $/MW-Year</t>
  </si>
  <si>
    <t>Net CONE,         $/MW-Day,    ICAP Price</t>
  </si>
  <si>
    <t>Net CONE,   $/MW-Day,  UCAP Price</t>
  </si>
  <si>
    <t>LDA Modeled with VRR Curve</t>
  </si>
  <si>
    <t>CONE Area 1</t>
  </si>
  <si>
    <t>PE</t>
  </si>
  <si>
    <t>PSEG</t>
  </si>
  <si>
    <t>PS, PSEG NORTH</t>
  </si>
  <si>
    <t>CONE Area 2</t>
  </si>
  <si>
    <t>CONE Area 4</t>
  </si>
  <si>
    <t>PENELEC</t>
  </si>
  <si>
    <t>PPL</t>
  </si>
  <si>
    <t>CONE Area 3</t>
  </si>
  <si>
    <t>ATSI, ATSI CLEVELAND</t>
  </si>
  <si>
    <t>* The 2022/2023 BRA CONE values are based on PJM’s Quadrennial Review filing (Docket No. ER19-105) which was FERC approved on April 15, 2019.</t>
  </si>
  <si>
    <t>Upgrade ID</t>
  </si>
  <si>
    <t>Description</t>
  </si>
  <si>
    <t>Transmission Owner</t>
  </si>
  <si>
    <t>Dominion</t>
  </si>
  <si>
    <t>None</t>
  </si>
  <si>
    <t>2023-2024 RPM Base Residual Auction Planning Parameters</t>
  </si>
  <si>
    <t>2023/2024 BRA CONE: Levelized Revenue Requirement, $/MW-Year</t>
  </si>
  <si>
    <t>Pool-Wide Average EFORd for 2023/2024 BRA</t>
  </si>
  <si>
    <t>RPM CONE and E&amp;AS Values for 2023/2024 Base Residual Auction</t>
  </si>
  <si>
    <t>Vienna #13710 (Vienna-Vienna 8) 138kV line for the loss of Indian River - Milford 230kV line</t>
  </si>
  <si>
    <t xml:space="preserve">Pierce 345/138 kV transformer #18 for the loss of the  Pierce - Foster 345 kV circuit     </t>
  </si>
  <si>
    <t>High Ridge - Sandy Spring 230 kV ckt 2314 for the loss of High Ridge - Sandy Spring - Burtonsville 230 kV ckt 2334
Elmont   - Ladysmith 500  kV for the loss of the Midlothian  - North Anna 500 kV</t>
  </si>
  <si>
    <t xml:space="preserve">Northwest - Conastone 230 kV  'ckt 2322'   for the loss of Northwest - Conastone 230 kV 'ckt 2310'
Pleasant View - Edwards Ferry 230 kV for the loss of Burces Hill - Possom Point 500 kV  </t>
  </si>
  <si>
    <t>Roseland - Williams Pipeline 230 kV for the loss of  Cedar Grove to Roseland 230 kV circuit
Stanley Terrace - MC Carter 230 kV for the loss of  West Orange - MC Carter 230 kV  circuit</t>
  </si>
  <si>
    <t>&gt;1,277.0</t>
  </si>
  <si>
    <t>New Key Transmission Upgrades included for 2023/2024 model</t>
  </si>
  <si>
    <t>b2759</t>
  </si>
  <si>
    <t>Rebuild Line #550 Mt. Storm – Valley 500kV</t>
  </si>
  <si>
    <t>b3019</t>
  </si>
  <si>
    <t>Rebuild 500kV Line #552 Bristers to Chancellor – 21.6 miles long</t>
  </si>
  <si>
    <t>b2977</t>
  </si>
  <si>
    <t>Portion of 2017_1-6A</t>
  </si>
  <si>
    <t>b2977.1</t>
  </si>
  <si>
    <t>Install a new 345kV breaker “1422” so Pierce 345/138KV transformer #18 is now fed in a double breaker, double bus configuration.</t>
  </si>
  <si>
    <t>b2977.2</t>
  </si>
  <si>
    <t>Remove X-533 No. 2 to the first tower outside the station. Install a new first tower for X-533 No.2.</t>
  </si>
  <si>
    <t>b2977.3</t>
  </si>
  <si>
    <t>Install new 345KV breaker B and move the Buffington-Pierce 345kV feeder to the B-C junction. Install a new tower at the first tower outside the station for Buffington-Pierce 345kV line.</t>
  </si>
  <si>
    <t>b2977.4</t>
  </si>
  <si>
    <t>Remove breaker A and move the Pierce 345/138kV transformer #17 feed to the C-D junction.</t>
  </si>
  <si>
    <t>b2977.5</t>
  </si>
  <si>
    <t>Replace breaker 822 at Beckjord 138kV substation to increase the rating from Pierce to Beckjord 138kV to 603MVA.</t>
  </si>
  <si>
    <t>s1267</t>
  </si>
  <si>
    <t>Replace underground submarine cables portion of the Brandon Shores - Riverside 230 kV circuits #2344 and #2345 with overhead conductors on towers</t>
  </si>
  <si>
    <t>b2838</t>
  </si>
  <si>
    <t>Build a new 230/69 kV substation by tapping the Montour - Susquehanna 230 kV double circuits and Berwick - Hunlock &amp; Berwick - Colombia 69 kV circuits</t>
  </si>
  <si>
    <t>b2986.1</t>
  </si>
  <si>
    <t>Roseland-Branchburg 230kV corridor rebuild</t>
  </si>
  <si>
    <t>b2986.11</t>
  </si>
  <si>
    <t>Roseland-Branchburg 230kV corridor rebuild (Roseland - Readington)</t>
  </si>
  <si>
    <t>b2986.12</t>
  </si>
  <si>
    <t>Roseland-Branchburg 230kV corridor rebuild (Readington - Branchburg)</t>
  </si>
  <si>
    <t>b2986.2</t>
  </si>
  <si>
    <t>Branchburg-Pleasant Valley 230kV corridor rebuild</t>
  </si>
  <si>
    <t>b2986.22</t>
  </si>
  <si>
    <t>Branchburg-Pleasant Valley 230kV corridor rebuild (East Flemington - Pleasant Valley)</t>
  </si>
  <si>
    <t>b2986.23</t>
  </si>
  <si>
    <t>Branchburg-Pleasant Valley 230kV corridor rebuild (Pleasant Valley - Rocktown)</t>
  </si>
  <si>
    <t>b2986.24</t>
  </si>
  <si>
    <t>Branchburg-Pleasant Valley 230kV corridor rebuild (the PSEG portion of Rocktown - Buckingham)</t>
  </si>
  <si>
    <t>b3042</t>
  </si>
  <si>
    <t>Replace substation conductor at Raritan River 230 kV substation on the Kilmer line terminal</t>
  </si>
  <si>
    <t>Key Transmission Upgrades included for 2022/2023 model but not included for 2023/2024 model</t>
  </si>
  <si>
    <t>Original 8/23/2021: Reliability Requirement not adjusted for FRR load.</t>
  </si>
  <si>
    <t xml:space="preserve">Update 11/4/2021: Reliability Requirement of RTO and applicable LDAs adjusted for FRR load. CETO, Reliability Requirement and CETL values of affected LDAs were updated to reflect the following changes made to the original 2023/2024 models: ComEd LDA: Byron and Dresden units were added to the model to reflect withdrawn deactivation notifications; DEOK LDA: Zimmer 1 was removed from the model to reflect deactivation notification; DPL-South, MAAC and EMAAC LDAs: Indian River 4 was added to the model under assumption of continued operation until upgrades needed to resolve reliability violations associated with the unit’s deactivation can be placed in-service; EMAAC LDA CETL also updated to reflect correction of impedance values of two EMAAC 500 kV tie lines; ATSI LDA: CETO and Reliability Requirement updated to reflect 100 MW of planned generation meeting qualification to be included in the model. </t>
  </si>
  <si>
    <t>Update 11/30/2021: EE addback represents the maximum amount of EE that can clear the auction. The VRR curve will be adjusted by an EE addback MW quantity that is equal to the amount of EE that clears the auction in accordance with Manual 18, section 2.4.5.</t>
  </si>
  <si>
    <t>2021 IRM Study, endorsed at the October 20, 2021 MRC meeting.</t>
  </si>
  <si>
    <t>2021 Zonal W/N Coincident Peak Loads</t>
  </si>
  <si>
    <t>Keeny - Rock Springs 500 kV for the loss of Peach Bottom - Limerick 500 kV
Elroy - Hosensack 500 kV for the loss of Alburtis - Branchburg 500 kV</t>
  </si>
  <si>
    <t>Wescosville 500/230 kV transformer pre-contingency</t>
  </si>
  <si>
    <t>Roseland - Williams 230 kV for the loss of Roseland - Cedar Grove 230 kV
Brunswick - Meadow Road 230 kV ckt Z2331 for the loss of Metuchen -Pierson Ave - Meadow Rd- Deans 230 kV ckt s2219
North Philadelphia - Waneeta 230 kV  for the loss of Jenkingtown - Whitemarsh - Whitpain 230 kV</t>
  </si>
  <si>
    <t>Voltage drop issue at Black Oak 500kv bus for the loss of Black Oak SVC, a switched shunt and 500/138 kV transformer</t>
  </si>
  <si>
    <t>&gt;1,990.0</t>
  </si>
  <si>
    <t>&gt;656</t>
  </si>
  <si>
    <t>&gt;1,875.0</t>
  </si>
  <si>
    <t>&gt;989.0</t>
  </si>
  <si>
    <t>&gt;1,162.0</t>
  </si>
  <si>
    <t>&gt;1,392.0</t>
  </si>
  <si>
    <t>&gt;3,496.0</t>
  </si>
  <si>
    <t>&gt;2,898.0</t>
  </si>
  <si>
    <t>Overload of Grabill Ohio Power-Robison Park 138 kV for the loss of Auburn-Varner 138 kV
Overload of Mitchell-Wilson 138 kV for the loss of Tidd-Collier 345 kV
Overload of Butler-Shanor Manor 138 kV for the losso of Cabot-Cranberyy 500 kV</t>
  </si>
  <si>
    <t>Low voltage at Hayes 345 kV for the loss of AC2-103 tap-Beaver 345 kV</t>
  </si>
  <si>
    <t>Overload of South Cadiz-Gable Switchign Station 138 kV for the loss of the Holloway 345/138 kV Transformer
Overload of North Muskingum River-Philo 138 kV for the loss of Muskingum River-Ohio Central 345 kV
Overload of South Bend-South Bend 2 138 kV for the loss of the Olive 345/138 kV Transformer
Over load of New Carlisle-Bosserman 138 kV No. 2 circuit for the loss of New Carlisle-Bosserman 138 kV No.1 circuit
Overload of Mitchell-Wilson 138 kV for the loss of Tidd-Collier 345 kV</t>
  </si>
  <si>
    <t>Voltage drop on several buses for the loss of the Conaston - Brighton 500 kV</t>
  </si>
  <si>
    <t xml:space="preserve">Shelby - Sidney 138 kV for the loss of the Miami - West Milton -Miami Fort 345 kV </t>
  </si>
  <si>
    <t>2022 Load Report with adjustments for load served outside PJM.</t>
  </si>
  <si>
    <t>Historic Net Energy Revenue Offset, $/MW-Year</t>
  </si>
  <si>
    <t>Update 2/28/22: IRM values, Peak Load Forecast, CETO, Reliability Requirements, CETL, and EE Addback due the 23/24 BRA being delayed. Net CONE values have been updated to reflect FERC Orders to reinstate historical Net EAS method and to remove 10% adder from Net EAS determination.</t>
  </si>
  <si>
    <t>Post-Auction Credit Rate, $/MW</t>
  </si>
  <si>
    <t>Update 6/21/22: Updated Post-Auction Credit Rate, the EE Addback to reflect the amount of EE that cleared the market, and the DEOK VRR curve to reflect the FRR portion served only in the DEOK footprint.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</si>
</sst>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_);[Red]\(&quot;$&quot;#,##0\)"/>
    <numFmt numFmtId="8" formatCode="&quot;$&quot;#,##0.00_);[Red]\(&quot;$&quot;#,##0.00\)"/>
    <numFmt numFmtId="43" formatCode="_(* #,##0.00_);_(* \(#,##0.00\);_(* &quot;-&quot;??_);_(@_)"/>
    <numFmt numFmtId="164" formatCode="#,##0.0"/>
    <numFmt numFmtId="165" formatCode="&quot;$&quot;#,##0.00"/>
    <numFmt numFmtId="166" formatCode="0.0%"/>
    <numFmt numFmtId="167" formatCode="0.0000"/>
    <numFmt numFmtId="168" formatCode="0.0"/>
    <numFmt numFmtId="169" formatCode="0.00000"/>
    <numFmt numFmtId="170" formatCode="0.000"/>
    <numFmt numFmtId="171" formatCode="&quot;$&quot;#,##0"/>
  </numFmts>
  <fonts count="20" x14ac:knownFonts="1">
    <font>
      <sz val="11"/>
      <color theme="1"/>
      <name val="Calibri"/>
      <family val="2"/>
      <scheme val="minor"/>
    </font>
    <font>
      <sz val="11"/>
      <color theme="1"/>
      <name val="Calibri"/>
      <family val="2"/>
      <scheme val="minor"/>
    </font>
    <font>
      <b/>
      <sz val="14"/>
      <name val="Arial"/>
      <family val="2"/>
    </font>
    <font>
      <b/>
      <sz val="14"/>
      <color rgb="FFFF0000"/>
      <name val="Arial"/>
      <family val="2"/>
    </font>
    <font>
      <b/>
      <sz val="12"/>
      <name val="Arial"/>
      <family val="2"/>
    </font>
    <font>
      <b/>
      <sz val="12"/>
      <color rgb="FFFF0000"/>
      <name val="Arial"/>
      <family val="2"/>
    </font>
    <font>
      <sz val="12"/>
      <name val="Arial"/>
      <family val="2"/>
    </font>
    <font>
      <sz val="12"/>
      <color theme="1"/>
      <name val="Arial"/>
      <family val="2"/>
    </font>
    <font>
      <b/>
      <sz val="10"/>
      <name val="Arial"/>
      <family val="2"/>
    </font>
    <font>
      <sz val="10"/>
      <name val="Arial"/>
      <family val="2"/>
    </font>
    <font>
      <b/>
      <sz val="12"/>
      <color theme="1"/>
      <name val="Arial"/>
      <family val="2"/>
    </font>
    <font>
      <sz val="11"/>
      <name val="Arial"/>
      <family val="2"/>
    </font>
    <font>
      <sz val="10"/>
      <color rgb="FFFF0000"/>
      <name val="Arial"/>
      <family val="2"/>
    </font>
    <font>
      <b/>
      <sz val="10"/>
      <color rgb="FFFF0000"/>
      <name val="Arial"/>
      <family val="2"/>
    </font>
    <font>
      <sz val="9"/>
      <color rgb="FFFF0000"/>
      <name val="Arial"/>
      <family val="2"/>
    </font>
    <font>
      <b/>
      <sz val="11"/>
      <name val="Arial"/>
      <family val="2"/>
    </font>
    <font>
      <sz val="10"/>
      <color theme="1"/>
      <name val="Arial"/>
      <family val="2"/>
    </font>
    <font>
      <sz val="11"/>
      <color rgb="FF000000"/>
      <name val="Calibri"/>
      <family val="2"/>
    </font>
    <font>
      <sz val="11"/>
      <name val="Calibri"/>
      <family val="2"/>
    </font>
    <font>
      <sz val="11"/>
      <name val="Calibri"/>
      <family val="2"/>
      <scheme val="minor"/>
    </font>
  </fonts>
  <fills count="10">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5" tint="0.79998168889431442"/>
        <bgColor indexed="64"/>
      </patternFill>
    </fill>
    <fill>
      <patternFill patternType="solid">
        <fgColor rgb="FFEEE4EC"/>
        <bgColor indexed="64"/>
      </patternFill>
    </fill>
    <fill>
      <patternFill patternType="solid">
        <fgColor rgb="FFE4DFEC"/>
        <bgColor indexed="64"/>
      </patternFill>
    </fill>
    <fill>
      <patternFill patternType="solid">
        <fgColor theme="4"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alignment wrapText="1"/>
    </xf>
    <xf numFmtId="0" fontId="16" fillId="0" borderId="0"/>
    <xf numFmtId="0" fontId="9" fillId="0" borderId="0"/>
    <xf numFmtId="0" fontId="9" fillId="0" borderId="0">
      <alignment wrapText="1"/>
    </xf>
    <xf numFmtId="0" fontId="1" fillId="0" borderId="0"/>
    <xf numFmtId="0" fontId="9" fillId="0" borderId="0"/>
  </cellStyleXfs>
  <cellXfs count="230">
    <xf numFmtId="0" fontId="0" fillId="0" borderId="0" xfId="0"/>
    <xf numFmtId="0" fontId="2" fillId="0" borderId="0" xfId="0" applyFont="1" applyBorder="1" applyAlignment="1">
      <alignment vertical="center"/>
    </xf>
    <xf numFmtId="0" fontId="2" fillId="0" borderId="0" xfId="0" applyFont="1" applyBorder="1" applyAlignment="1">
      <alignment horizontal="left" vertical="center"/>
    </xf>
    <xf numFmtId="14" fontId="2" fillId="0" borderId="0" xfId="0" applyNumberFormat="1" applyFont="1" applyBorder="1" applyAlignment="1">
      <alignment horizontal="center" vertical="center"/>
    </xf>
    <xf numFmtId="0" fontId="3" fillId="0" borderId="0" xfId="0" applyFont="1" applyBorder="1" applyAlignment="1">
      <alignment horizontal="left" vertical="center"/>
    </xf>
    <xf numFmtId="0" fontId="0" fillId="0" borderId="0" xfId="0" applyAlignment="1">
      <alignment horizontal="center"/>
    </xf>
    <xf numFmtId="0" fontId="2" fillId="0" borderId="0" xfId="0" applyFont="1" applyBorder="1" applyAlignment="1">
      <alignment horizontal="center" vertical="center"/>
    </xf>
    <xf numFmtId="0" fontId="4" fillId="0" borderId="0" xfId="0" applyFont="1" applyBorder="1" applyAlignment="1">
      <alignment horizontal="center"/>
    </xf>
    <xf numFmtId="164" fontId="5" fillId="0" borderId="0" xfId="0" applyNumberFormat="1" applyFont="1" applyBorder="1" applyAlignment="1">
      <alignment horizontal="left" vertical="center"/>
    </xf>
    <xf numFmtId="0" fontId="6" fillId="0" borderId="0" xfId="0" applyFont="1" applyBorder="1" applyAlignment="1">
      <alignment horizontal="left" vertical="center"/>
    </xf>
    <xf numFmtId="0" fontId="5" fillId="0" borderId="0" xfId="0" applyFont="1" applyBorder="1" applyAlignment="1">
      <alignment horizontal="left" vertical="center"/>
    </xf>
    <xf numFmtId="1" fontId="5" fillId="0" borderId="0" xfId="0" applyNumberFormat="1" applyFont="1" applyBorder="1" applyAlignment="1">
      <alignment horizontal="left" vertical="center"/>
    </xf>
    <xf numFmtId="165" fontId="5" fillId="0" borderId="0" xfId="0" applyNumberFormat="1" applyFont="1" applyBorder="1" applyAlignment="1">
      <alignment horizontal="left" vertical="center"/>
    </xf>
    <xf numFmtId="0" fontId="6" fillId="0" borderId="1" xfId="0" applyFont="1" applyBorder="1" applyAlignment="1">
      <alignment horizontal="left" vertical="center"/>
    </xf>
    <xf numFmtId="0" fontId="2" fillId="0" borderId="2" xfId="0" applyFont="1" applyBorder="1" applyAlignment="1">
      <alignment horizontal="center"/>
    </xf>
    <xf numFmtId="166" fontId="6" fillId="0" borderId="2" xfId="0" applyNumberFormat="1" applyFont="1" applyBorder="1" applyAlignment="1">
      <alignment horizontal="right" vertical="center"/>
    </xf>
    <xf numFmtId="10" fontId="6" fillId="0" borderId="2" xfId="0" applyNumberFormat="1" applyFont="1" applyBorder="1" applyAlignment="1">
      <alignment horizontal="right" vertical="center"/>
    </xf>
    <xf numFmtId="167" fontId="6" fillId="0" borderId="2" xfId="0" applyNumberFormat="1" applyFont="1" applyBorder="1" applyAlignment="1">
      <alignment horizontal="right" vertical="center"/>
    </xf>
    <xf numFmtId="164" fontId="7" fillId="0" borderId="2" xfId="0" applyNumberFormat="1" applyFont="1" applyFill="1" applyBorder="1" applyAlignment="1">
      <alignment horizontal="right" vertical="center"/>
    </xf>
    <xf numFmtId="165" fontId="6" fillId="0" borderId="1" xfId="0" applyNumberFormat="1" applyFont="1" applyBorder="1" applyAlignment="1">
      <alignment horizontal="center" vertical="center"/>
    </xf>
    <xf numFmtId="0" fontId="8" fillId="0" borderId="3" xfId="0" applyFont="1" applyBorder="1" applyAlignment="1">
      <alignment horizontal="center" vertical="center" wrapText="1"/>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6" fillId="0" borderId="5" xfId="0" applyFont="1" applyBorder="1" applyAlignment="1">
      <alignment horizontal="left" vertical="center" wrapText="1"/>
    </xf>
    <xf numFmtId="164" fontId="6" fillId="0" borderId="1" xfId="0" applyNumberFormat="1" applyFont="1" applyBorder="1" applyAlignment="1">
      <alignment horizontal="right" vertical="center" wrapText="1"/>
    </xf>
    <xf numFmtId="164" fontId="7" fillId="0" borderId="1" xfId="0" applyNumberFormat="1" applyFont="1" applyFill="1" applyBorder="1" applyAlignment="1">
      <alignment horizontal="right" vertical="center" wrapText="1"/>
    </xf>
    <xf numFmtId="164" fontId="7" fillId="0" borderId="1" xfId="0" applyNumberFormat="1" applyFont="1" applyBorder="1" applyAlignment="1">
      <alignment horizontal="right" vertical="center"/>
    </xf>
    <xf numFmtId="164" fontId="7" fillId="0" borderId="1" xfId="0" applyNumberFormat="1" applyFont="1" applyFill="1" applyBorder="1" applyAlignment="1">
      <alignment horizontal="right" vertical="center"/>
    </xf>
    <xf numFmtId="1" fontId="6" fillId="0" borderId="5" xfId="0" applyNumberFormat="1" applyFont="1" applyBorder="1" applyAlignment="1">
      <alignment horizontal="left" vertical="center" wrapText="1"/>
    </xf>
    <xf numFmtId="164" fontId="7" fillId="0" borderId="1" xfId="2" applyNumberFormat="1" applyFont="1" applyBorder="1" applyAlignment="1">
      <alignment horizontal="right" vertical="center"/>
    </xf>
    <xf numFmtId="164" fontId="7" fillId="0" borderId="1" xfId="2" applyNumberFormat="1" applyFont="1" applyFill="1" applyBorder="1" applyAlignment="1">
      <alignment horizontal="right" vertical="center"/>
    </xf>
    <xf numFmtId="164" fontId="6" fillId="0" borderId="1" xfId="0" applyNumberFormat="1" applyFont="1" applyBorder="1" applyAlignment="1">
      <alignment horizontal="right" vertical="center"/>
    </xf>
    <xf numFmtId="3" fontId="6" fillId="0" borderId="1" xfId="0" applyNumberFormat="1" applyFont="1" applyBorder="1" applyAlignment="1">
      <alignment horizontal="right" vertical="center"/>
    </xf>
    <xf numFmtId="164" fontId="6" fillId="0" borderId="1" xfId="0" applyNumberFormat="1" applyFont="1" applyFill="1" applyBorder="1" applyAlignment="1">
      <alignment horizontal="right" vertical="center"/>
    </xf>
    <xf numFmtId="1" fontId="6" fillId="0" borderId="5" xfId="0" applyNumberFormat="1" applyFont="1" applyBorder="1" applyAlignment="1">
      <alignment horizontal="left" vertical="center"/>
    </xf>
    <xf numFmtId="164" fontId="4" fillId="0" borderId="1" xfId="0" applyNumberFormat="1" applyFont="1" applyBorder="1" applyAlignment="1">
      <alignment horizontal="right" vertical="center" wrapText="1"/>
    </xf>
    <xf numFmtId="0" fontId="6" fillId="0" borderId="1" xfId="0" applyFont="1" applyBorder="1" applyAlignment="1">
      <alignment horizontal="left" vertical="center" wrapText="1"/>
    </xf>
    <xf numFmtId="165" fontId="6" fillId="0" borderId="1" xfId="0" applyNumberFormat="1" applyFont="1" applyBorder="1" applyAlignment="1">
      <alignment horizontal="right" vertical="center" wrapText="1"/>
    </xf>
    <xf numFmtId="0" fontId="4" fillId="0" borderId="1" xfId="0" applyFont="1" applyBorder="1" applyAlignment="1">
      <alignment horizontal="left" vertical="center" wrapText="1"/>
    </xf>
    <xf numFmtId="165" fontId="4" fillId="0" borderId="1" xfId="0" applyNumberFormat="1" applyFont="1" applyBorder="1" applyAlignment="1">
      <alignment horizontal="right" vertical="center" wrapText="1"/>
    </xf>
    <xf numFmtId="1" fontId="6" fillId="0" borderId="6" xfId="0" applyNumberFormat="1" applyFont="1" applyBorder="1" applyAlignment="1">
      <alignment horizontal="left" vertical="center"/>
    </xf>
    <xf numFmtId="0" fontId="6" fillId="2" borderId="8" xfId="0" applyFont="1" applyFill="1" applyBorder="1" applyAlignment="1">
      <alignment horizontal="left" vertical="center" wrapText="1"/>
    </xf>
    <xf numFmtId="165" fontId="6" fillId="2" borderId="9" xfId="0" applyNumberFormat="1" applyFont="1" applyFill="1" applyBorder="1" applyAlignment="1">
      <alignment horizontal="right" vertical="center" wrapText="1"/>
    </xf>
    <xf numFmtId="165" fontId="6" fillId="2" borderId="10" xfId="0" applyNumberFormat="1" applyFont="1" applyFill="1" applyBorder="1" applyAlignment="1">
      <alignment horizontal="right" vertical="center" wrapText="1"/>
    </xf>
    <xf numFmtId="0" fontId="6" fillId="2" borderId="5" xfId="0" applyFont="1" applyFill="1" applyBorder="1" applyAlignment="1">
      <alignment horizontal="left" vertical="center" wrapText="1"/>
    </xf>
    <xf numFmtId="165" fontId="6" fillId="2" borderId="1" xfId="0" applyNumberFormat="1" applyFont="1" applyFill="1" applyBorder="1" applyAlignment="1">
      <alignment horizontal="right" vertical="center" wrapText="1"/>
    </xf>
    <xf numFmtId="165" fontId="6" fillId="2" borderId="11" xfId="0" applyNumberFormat="1" applyFont="1" applyFill="1" applyBorder="1" applyAlignment="1">
      <alignment horizontal="right" vertical="center" wrapText="1"/>
    </xf>
    <xf numFmtId="0" fontId="6" fillId="2" borderId="12" xfId="0" applyFont="1" applyFill="1" applyBorder="1" applyAlignment="1">
      <alignment horizontal="left" vertical="center" wrapText="1"/>
    </xf>
    <xf numFmtId="0" fontId="4" fillId="0" borderId="3" xfId="0" applyFont="1" applyFill="1" applyBorder="1" applyAlignment="1">
      <alignment horizontal="left" vertical="center" wrapText="1"/>
    </xf>
    <xf numFmtId="165" fontId="7" fillId="0" borderId="4" xfId="0" applyNumberFormat="1" applyFont="1" applyFill="1" applyBorder="1" applyAlignment="1">
      <alignment horizontal="right" vertical="center"/>
    </xf>
    <xf numFmtId="166" fontId="6" fillId="0" borderId="1" xfId="0" applyNumberFormat="1" applyFont="1" applyBorder="1" applyAlignment="1">
      <alignment horizontal="right" vertical="center" wrapText="1"/>
    </xf>
    <xf numFmtId="168" fontId="6" fillId="0" borderId="1" xfId="0" applyNumberFormat="1" applyFont="1" applyBorder="1" applyAlignment="1">
      <alignment horizontal="right" vertical="center"/>
    </xf>
    <xf numFmtId="168" fontId="6" fillId="0" borderId="1" xfId="0" applyNumberFormat="1" applyFont="1" applyFill="1" applyBorder="1" applyAlignment="1">
      <alignment horizontal="right" vertical="center"/>
    </xf>
    <xf numFmtId="166" fontId="6" fillId="0" borderId="1" xfId="2" applyNumberFormat="1" applyFont="1" applyFill="1" applyBorder="1" applyAlignment="1">
      <alignment horizontal="right" vertical="center"/>
    </xf>
    <xf numFmtId="166" fontId="6" fillId="0" borderId="1" xfId="2" applyNumberFormat="1" applyFont="1" applyBorder="1" applyAlignment="1">
      <alignment horizontal="right" vertical="center"/>
    </xf>
    <xf numFmtId="0" fontId="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6" xfId="0" applyFont="1" applyBorder="1" applyAlignment="1">
      <alignment horizontal="left" vertical="center"/>
    </xf>
    <xf numFmtId="164" fontId="0" fillId="0" borderId="0" xfId="0" applyNumberFormat="1" applyBorder="1" applyAlignment="1">
      <alignment horizontal="left"/>
    </xf>
    <xf numFmtId="0" fontId="9" fillId="0" borderId="0" xfId="0" applyFont="1"/>
    <xf numFmtId="0" fontId="9" fillId="0" borderId="0" xfId="0" applyFont="1" applyFill="1" applyBorder="1"/>
    <xf numFmtId="0" fontId="4" fillId="0" borderId="1" xfId="0" applyFont="1" applyBorder="1" applyAlignment="1">
      <alignment horizontal="right"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9" fillId="0" borderId="0" xfId="0" applyFont="1" applyFill="1" applyBorder="1" applyAlignment="1">
      <alignment vertical="center"/>
    </xf>
    <xf numFmtId="0" fontId="6" fillId="0" borderId="1" xfId="0" applyFont="1" applyBorder="1" applyAlignment="1">
      <alignment horizontal="right" vertical="center" wrapText="1"/>
    </xf>
    <xf numFmtId="164" fontId="6" fillId="0" borderId="1" xfId="0" applyNumberFormat="1" applyFont="1" applyFill="1" applyBorder="1" applyAlignment="1">
      <alignment horizontal="right" vertical="center" wrapText="1"/>
    </xf>
    <xf numFmtId="164" fontId="6" fillId="0" borderId="1" xfId="0" applyNumberFormat="1" applyFont="1" applyFill="1" applyBorder="1" applyAlignment="1">
      <alignment horizontal="center" vertical="center" wrapText="1"/>
    </xf>
    <xf numFmtId="164" fontId="4" fillId="0" borderId="7" xfId="0" applyNumberFormat="1" applyFont="1" applyFill="1" applyBorder="1" applyAlignment="1">
      <alignment horizontal="right" vertical="center" wrapText="1"/>
    </xf>
    <xf numFmtId="164" fontId="10" fillId="0" borderId="1" xfId="0" applyNumberFormat="1" applyFont="1" applyBorder="1" applyAlignment="1">
      <alignment horizontal="right" vertical="center" wrapText="1"/>
    </xf>
    <xf numFmtId="168" fontId="7" fillId="0" borderId="1" xfId="0" applyNumberFormat="1" applyFont="1" applyBorder="1" applyAlignment="1">
      <alignment horizontal="right" vertical="center" wrapText="1"/>
    </xf>
    <xf numFmtId="0" fontId="6" fillId="0" borderId="1" xfId="0" applyFont="1" applyBorder="1" applyAlignment="1">
      <alignment horizontal="right" vertical="center"/>
    </xf>
    <xf numFmtId="9" fontId="6" fillId="0" borderId="1" xfId="2" applyFont="1" applyFill="1" applyBorder="1" applyAlignment="1">
      <alignment horizontal="right" vertical="center"/>
    </xf>
    <xf numFmtId="164" fontId="7" fillId="0" borderId="6" xfId="2" applyNumberFormat="1" applyFont="1" applyFill="1" applyBorder="1" applyAlignment="1">
      <alignment horizontal="right" vertical="center"/>
    </xf>
    <xf numFmtId="169" fontId="7" fillId="0" borderId="1" xfId="2" applyNumberFormat="1" applyFont="1" applyBorder="1" applyAlignment="1">
      <alignment horizontal="right" vertical="center"/>
    </xf>
    <xf numFmtId="164" fontId="7" fillId="0" borderId="1" xfId="0" applyNumberFormat="1" applyFont="1" applyBorder="1" applyAlignment="1">
      <alignment horizontal="right" vertical="center" wrapText="1"/>
    </xf>
    <xf numFmtId="164" fontId="6" fillId="0" borderId="1" xfId="2" applyNumberFormat="1" applyFont="1" applyBorder="1" applyAlignment="1">
      <alignment horizontal="right" vertical="center"/>
    </xf>
    <xf numFmtId="0" fontId="6" fillId="0" borderId="1" xfId="0" applyFont="1" applyFill="1" applyBorder="1" applyAlignment="1">
      <alignment horizontal="right" vertical="center"/>
    </xf>
    <xf numFmtId="164" fontId="6" fillId="0" borderId="2" xfId="2" applyNumberFormat="1" applyFont="1" applyFill="1" applyBorder="1" applyAlignment="1">
      <alignment horizontal="right" vertical="center"/>
    </xf>
    <xf numFmtId="0" fontId="6" fillId="0" borderId="1" xfId="0" applyFont="1" applyFill="1" applyBorder="1" applyAlignment="1">
      <alignment horizontal="left" vertical="center"/>
    </xf>
    <xf numFmtId="164" fontId="6" fillId="0" borderId="4" xfId="2" applyNumberFormat="1" applyFont="1" applyFill="1" applyBorder="1" applyAlignment="1">
      <alignment horizontal="right" vertical="center"/>
    </xf>
    <xf numFmtId="169" fontId="6" fillId="0" borderId="1" xfId="2" applyNumberFormat="1" applyFont="1" applyBorder="1" applyAlignment="1">
      <alignment horizontal="right" vertical="center"/>
    </xf>
    <xf numFmtId="164" fontId="4" fillId="0" borderId="1" xfId="1" applyNumberFormat="1" applyFont="1" applyFill="1" applyBorder="1" applyAlignment="1">
      <alignment horizontal="right" vertical="center"/>
    </xf>
    <xf numFmtId="164" fontId="6" fillId="0" borderId="1" xfId="2" applyNumberFormat="1" applyFont="1" applyFill="1" applyBorder="1" applyAlignment="1">
      <alignment horizontal="right" vertical="center"/>
    </xf>
    <xf numFmtId="164" fontId="10" fillId="0" borderId="1" xfId="1" applyNumberFormat="1" applyFont="1" applyFill="1" applyBorder="1" applyAlignment="1">
      <alignment horizontal="right" vertical="center"/>
    </xf>
    <xf numFmtId="9" fontId="7" fillId="0" borderId="1" xfId="2" applyFont="1" applyFill="1" applyBorder="1" applyAlignment="1">
      <alignment horizontal="right" vertical="center"/>
    </xf>
    <xf numFmtId="164" fontId="4" fillId="0" borderId="1" xfId="0" applyNumberFormat="1" applyFont="1" applyFill="1" applyBorder="1" applyAlignment="1">
      <alignment horizontal="right" vertical="center"/>
    </xf>
    <xf numFmtId="9" fontId="6" fillId="0" borderId="1" xfId="2" applyNumberFormat="1" applyFont="1" applyFill="1" applyBorder="1" applyAlignment="1">
      <alignment horizontal="right" vertical="center"/>
    </xf>
    <xf numFmtId="168" fontId="6" fillId="0" borderId="1" xfId="2" applyNumberFormat="1" applyFont="1" applyBorder="1" applyAlignment="1">
      <alignment horizontal="right" vertical="center"/>
    </xf>
    <xf numFmtId="9" fontId="7" fillId="0" borderId="1" xfId="2" applyNumberFormat="1" applyFont="1" applyFill="1" applyBorder="1" applyAlignment="1">
      <alignment horizontal="right" vertical="center"/>
    </xf>
    <xf numFmtId="0" fontId="6" fillId="0" borderId="0" xfId="0" applyFont="1" applyBorder="1"/>
    <xf numFmtId="0" fontId="2" fillId="0" borderId="0" xfId="0" applyFont="1" applyAlignment="1"/>
    <xf numFmtId="0" fontId="5" fillId="0" borderId="0" xfId="0" applyFont="1" applyAlignment="1">
      <alignment horizontal="left" vertical="center" wrapText="1"/>
    </xf>
    <xf numFmtId="0" fontId="6" fillId="0" borderId="0" xfId="0" applyFont="1" applyBorder="1" applyAlignment="1">
      <alignment vertical="center"/>
    </xf>
    <xf numFmtId="10" fontId="4" fillId="3" borderId="1" xfId="2" applyNumberFormat="1" applyFont="1" applyFill="1" applyBorder="1" applyAlignment="1">
      <alignment vertical="center"/>
    </xf>
    <xf numFmtId="0" fontId="0" fillId="0" borderId="0" xfId="0" applyAlignment="1">
      <alignment wrapText="1"/>
    </xf>
    <xf numFmtId="0" fontId="13" fillId="0" borderId="0" xfId="0" applyFont="1" applyAlignment="1">
      <alignment horizontal="center" vertical="center"/>
    </xf>
    <xf numFmtId="8" fontId="0" fillId="0" borderId="0" xfId="0" applyNumberFormat="1"/>
    <xf numFmtId="0" fontId="14" fillId="0" borderId="0" xfId="0" applyFont="1" applyAlignment="1">
      <alignment horizontal="center" vertical="center"/>
    </xf>
    <xf numFmtId="0" fontId="13" fillId="0" borderId="0" xfId="0" applyFont="1" applyAlignment="1">
      <alignment horizontal="left"/>
    </xf>
    <xf numFmtId="0" fontId="4" fillId="4" borderId="21" xfId="0" applyFont="1" applyFill="1" applyBorder="1" applyAlignment="1">
      <alignment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4" fillId="4" borderId="8" xfId="0" applyFont="1" applyFill="1" applyBorder="1" applyAlignment="1">
      <alignment wrapText="1"/>
    </xf>
    <xf numFmtId="6" fontId="6" fillId="0" borderId="9" xfId="0" applyNumberFormat="1" applyFont="1" applyBorder="1" applyAlignment="1">
      <alignment horizontal="center" vertical="center" wrapText="1"/>
    </xf>
    <xf numFmtId="170" fontId="6" fillId="0" borderId="9" xfId="0" applyNumberFormat="1" applyFont="1" applyBorder="1" applyAlignment="1">
      <alignment horizontal="center" vertical="center" wrapText="1"/>
    </xf>
    <xf numFmtId="165" fontId="6" fillId="0" borderId="9" xfId="0" applyNumberFormat="1" applyFont="1" applyBorder="1" applyAlignment="1">
      <alignment horizontal="center" vertical="center" wrapText="1"/>
    </xf>
    <xf numFmtId="0" fontId="6" fillId="0" borderId="9" xfId="0" applyFont="1" applyBorder="1" applyAlignment="1">
      <alignment vertical="center" wrapText="1"/>
    </xf>
    <xf numFmtId="0" fontId="4" fillId="0" borderId="9" xfId="0" applyFont="1" applyBorder="1" applyAlignment="1">
      <alignment vertical="center" wrapText="1"/>
    </xf>
    <xf numFmtId="0" fontId="0" fillId="0" borderId="10" xfId="0" applyBorder="1" applyAlignment="1">
      <alignment horizontal="center"/>
    </xf>
    <xf numFmtId="0" fontId="6" fillId="4" borderId="5" xfId="0" applyFont="1" applyFill="1" applyBorder="1" applyAlignment="1">
      <alignment horizontal="left" vertical="center" wrapText="1"/>
    </xf>
    <xf numFmtId="6" fontId="6" fillId="0" borderId="1" xfId="0" applyNumberFormat="1" applyFont="1" applyBorder="1" applyAlignment="1">
      <alignment horizontal="center" vertical="center" wrapText="1"/>
    </xf>
    <xf numFmtId="165" fontId="6" fillId="0" borderId="1" xfId="0" applyNumberFormat="1" applyFont="1" applyBorder="1" applyAlignment="1">
      <alignment horizontal="center" vertical="center" wrapText="1"/>
    </xf>
    <xf numFmtId="171" fontId="6" fillId="0" borderId="1" xfId="0" applyNumberFormat="1" applyFont="1" applyBorder="1" applyAlignment="1">
      <alignment horizontal="center"/>
    </xf>
    <xf numFmtId="171" fontId="6" fillId="0" borderId="1" xfId="0" applyNumberFormat="1" applyFont="1" applyBorder="1" applyAlignment="1">
      <alignment horizontal="center" vertical="center" wrapText="1"/>
    </xf>
    <xf numFmtId="0" fontId="0" fillId="0" borderId="11" xfId="0" applyBorder="1" applyAlignment="1">
      <alignment horizontal="center"/>
    </xf>
    <xf numFmtId="0" fontId="6" fillId="0" borderId="11" xfId="0" applyFont="1" applyBorder="1" applyAlignment="1">
      <alignment horizontal="center"/>
    </xf>
    <xf numFmtId="0" fontId="6" fillId="0" borderId="11" xfId="0" applyFont="1" applyBorder="1" applyAlignment="1">
      <alignment horizontal="center" vertical="center"/>
    </xf>
    <xf numFmtId="0" fontId="4" fillId="4" borderId="12" xfId="0" applyFont="1" applyFill="1" applyBorder="1" applyAlignment="1">
      <alignment horizontal="left" vertical="center" wrapText="1"/>
    </xf>
    <xf numFmtId="6" fontId="6" fillId="0" borderId="13" xfId="0" applyNumberFormat="1" applyFont="1" applyBorder="1" applyAlignment="1">
      <alignment horizontal="center" vertical="center" wrapText="1"/>
    </xf>
    <xf numFmtId="165" fontId="6" fillId="0" borderId="13" xfId="0" applyNumberFormat="1" applyFont="1" applyBorder="1" applyAlignment="1">
      <alignment horizontal="center" vertical="center" wrapText="1"/>
    </xf>
    <xf numFmtId="171" fontId="6" fillId="0" borderId="13" xfId="0" applyNumberFormat="1" applyFont="1" applyFill="1" applyBorder="1" applyAlignment="1">
      <alignment horizontal="center" vertical="center" wrapText="1"/>
    </xf>
    <xf numFmtId="171" fontId="6" fillId="0" borderId="13" xfId="0" applyNumberFormat="1" applyFont="1" applyBorder="1" applyAlignment="1">
      <alignment horizontal="center" vertical="center" wrapText="1"/>
    </xf>
    <xf numFmtId="0" fontId="6" fillId="0" borderId="14" xfId="0" applyFont="1" applyBorder="1" applyAlignment="1">
      <alignment horizontal="center" vertical="center"/>
    </xf>
    <xf numFmtId="171" fontId="6" fillId="0" borderId="9" xfId="0" applyNumberFormat="1" applyFont="1" applyFill="1" applyBorder="1" applyAlignment="1">
      <alignment horizontal="center" vertical="center" wrapText="1"/>
    </xf>
    <xf numFmtId="171" fontId="6" fillId="0" borderId="9" xfId="0" applyNumberFormat="1" applyFont="1" applyBorder="1" applyAlignment="1">
      <alignment horizontal="center" vertical="center" wrapText="1"/>
    </xf>
    <xf numFmtId="165" fontId="4" fillId="0" borderId="9" xfId="0" applyNumberFormat="1" applyFont="1" applyBorder="1" applyAlignment="1">
      <alignment horizontal="center" vertical="center" wrapText="1"/>
    </xf>
    <xf numFmtId="0" fontId="6" fillId="4" borderId="5" xfId="0" applyFont="1" applyFill="1" applyBorder="1" applyAlignment="1">
      <alignment wrapText="1"/>
    </xf>
    <xf numFmtId="171" fontId="6" fillId="0" borderId="1" xfId="0" applyNumberFormat="1" applyFont="1" applyFill="1" applyBorder="1" applyAlignment="1">
      <alignment horizontal="center"/>
    </xf>
    <xf numFmtId="0" fontId="4" fillId="4" borderId="21" xfId="0" applyFont="1" applyFill="1" applyBorder="1" applyAlignment="1">
      <alignment horizontal="left" vertical="center" wrapText="1"/>
    </xf>
    <xf numFmtId="6" fontId="6" fillId="0" borderId="22" xfId="0" applyNumberFormat="1" applyFont="1" applyBorder="1" applyAlignment="1">
      <alignment horizontal="center" vertical="center" wrapText="1"/>
    </xf>
    <xf numFmtId="165" fontId="6" fillId="0" borderId="22" xfId="0" applyNumberFormat="1" applyFont="1" applyBorder="1" applyAlignment="1">
      <alignment horizontal="center" vertical="center" wrapText="1"/>
    </xf>
    <xf numFmtId="171" fontId="6" fillId="0" borderId="22" xfId="0" applyNumberFormat="1" applyFont="1" applyBorder="1" applyAlignment="1">
      <alignment horizontal="center"/>
    </xf>
    <xf numFmtId="171" fontId="6" fillId="0" borderId="22" xfId="0" applyNumberFormat="1" applyFont="1" applyBorder="1" applyAlignment="1">
      <alignment horizontal="center" vertical="center" wrapText="1"/>
    </xf>
    <xf numFmtId="0" fontId="6" fillId="0" borderId="23" xfId="0" applyFont="1" applyBorder="1" applyAlignment="1">
      <alignment horizontal="center" vertical="center"/>
    </xf>
    <xf numFmtId="0" fontId="6" fillId="0" borderId="24" xfId="0" applyFont="1" applyFill="1" applyBorder="1" applyAlignment="1">
      <alignment vertical="center"/>
    </xf>
    <xf numFmtId="0" fontId="6" fillId="0" borderId="0" xfId="0" applyFont="1" applyFill="1" applyBorder="1" applyAlignment="1">
      <alignment vertical="center" wrapText="1"/>
    </xf>
    <xf numFmtId="171" fontId="6" fillId="0" borderId="0" xfId="0" applyNumberFormat="1" applyFont="1" applyFill="1" applyBorder="1" applyAlignment="1">
      <alignment vertical="center" wrapText="1"/>
    </xf>
    <xf numFmtId="0" fontId="6" fillId="6" borderId="8" xfId="0" applyFont="1" applyFill="1" applyBorder="1" applyAlignment="1">
      <alignment horizontal="left" vertical="center" wrapText="1"/>
    </xf>
    <xf numFmtId="165" fontId="6" fillId="6" borderId="9" xfId="0" applyNumberFormat="1" applyFont="1" applyFill="1" applyBorder="1" applyAlignment="1">
      <alignment horizontal="right" vertical="center" wrapText="1"/>
    </xf>
    <xf numFmtId="165" fontId="6" fillId="6" borderId="10" xfId="0" applyNumberFormat="1" applyFont="1" applyFill="1" applyBorder="1" applyAlignment="1">
      <alignment horizontal="right" vertical="center" wrapText="1"/>
    </xf>
    <xf numFmtId="0" fontId="6" fillId="6" borderId="5" xfId="0" applyFont="1" applyFill="1" applyBorder="1" applyAlignment="1">
      <alignment horizontal="left" vertical="center" wrapText="1"/>
    </xf>
    <xf numFmtId="165" fontId="6" fillId="6" borderId="1" xfId="0" applyNumberFormat="1" applyFont="1" applyFill="1" applyBorder="1" applyAlignment="1">
      <alignment horizontal="right" vertical="center" wrapText="1"/>
    </xf>
    <xf numFmtId="165" fontId="6" fillId="6" borderId="11" xfId="0" applyNumberFormat="1" applyFont="1" applyFill="1" applyBorder="1" applyAlignment="1">
      <alignment horizontal="right" vertical="center" wrapText="1"/>
    </xf>
    <xf numFmtId="164" fontId="6" fillId="6" borderId="1" xfId="0" applyNumberFormat="1" applyFont="1" applyFill="1" applyBorder="1" applyAlignment="1">
      <alignment horizontal="right" vertical="center" wrapText="1"/>
    </xf>
    <xf numFmtId="164" fontId="6" fillId="6" borderId="11" xfId="0" applyNumberFormat="1" applyFont="1" applyFill="1" applyBorder="1" applyAlignment="1">
      <alignment horizontal="right" vertical="center" wrapText="1"/>
    </xf>
    <xf numFmtId="0" fontId="6" fillId="6" borderId="12" xfId="0" applyFont="1" applyFill="1" applyBorder="1" applyAlignment="1">
      <alignment horizontal="left" vertical="center" wrapText="1"/>
    </xf>
    <xf numFmtId="164" fontId="6" fillId="6" borderId="13" xfId="0" applyNumberFormat="1" applyFont="1" applyFill="1" applyBorder="1" applyAlignment="1">
      <alignment horizontal="right" vertical="center" wrapText="1"/>
    </xf>
    <xf numFmtId="164" fontId="6" fillId="6" borderId="14" xfId="0" applyNumberFormat="1" applyFont="1" applyFill="1" applyBorder="1" applyAlignment="1">
      <alignment horizontal="right" vertical="center" wrapText="1"/>
    </xf>
    <xf numFmtId="164" fontId="6" fillId="7" borderId="4" xfId="0" applyNumberFormat="1" applyFont="1" applyFill="1" applyBorder="1" applyAlignment="1">
      <alignment horizontal="right" vertical="center" wrapText="1"/>
    </xf>
    <xf numFmtId="0" fontId="4" fillId="8" borderId="3" xfId="0" applyFont="1" applyFill="1" applyBorder="1" applyAlignment="1">
      <alignment horizontal="left" vertical="center" wrapText="1"/>
    </xf>
    <xf numFmtId="165" fontId="6" fillId="2" borderId="13" xfId="0" applyNumberFormat="1" applyFont="1" applyFill="1" applyBorder="1" applyAlignment="1">
      <alignment horizontal="right" vertical="center" wrapText="1"/>
    </xf>
    <xf numFmtId="165" fontId="6" fillId="2" borderId="14" xfId="0" applyNumberFormat="1" applyFont="1" applyFill="1" applyBorder="1" applyAlignment="1">
      <alignment horizontal="right" vertical="center" wrapText="1"/>
    </xf>
    <xf numFmtId="0" fontId="6" fillId="9" borderId="8" xfId="0" applyFont="1" applyFill="1" applyBorder="1" applyAlignment="1">
      <alignment horizontal="left" vertical="center" wrapText="1"/>
    </xf>
    <xf numFmtId="164" fontId="6" fillId="9" borderId="9" xfId="0" applyNumberFormat="1" applyFont="1" applyFill="1" applyBorder="1" applyAlignment="1">
      <alignment horizontal="right" vertical="center" wrapText="1"/>
    </xf>
    <xf numFmtId="0" fontId="6" fillId="9" borderId="5" xfId="0" applyFont="1" applyFill="1" applyBorder="1" applyAlignment="1">
      <alignment horizontal="left" vertical="center" wrapText="1"/>
    </xf>
    <xf numFmtId="164" fontId="6" fillId="9" borderId="1" xfId="0" applyNumberFormat="1" applyFont="1" applyFill="1" applyBorder="1" applyAlignment="1">
      <alignment horizontal="right" vertical="center" wrapText="1"/>
    </xf>
    <xf numFmtId="0" fontId="6" fillId="9" borderId="12" xfId="0" applyFont="1" applyFill="1" applyBorder="1" applyAlignment="1">
      <alignment horizontal="left" vertical="center" wrapText="1"/>
    </xf>
    <xf numFmtId="164" fontId="6" fillId="9" borderId="13" xfId="0" applyNumberFormat="1" applyFont="1" applyFill="1" applyBorder="1" applyAlignment="1">
      <alignment horizontal="right" vertical="center" wrapText="1"/>
    </xf>
    <xf numFmtId="0" fontId="15" fillId="0" borderId="21" xfId="3" applyFont="1" applyBorder="1" applyAlignment="1">
      <alignment vertical="center"/>
    </xf>
    <xf numFmtId="0" fontId="15" fillId="0" borderId="22" xfId="3" applyFont="1" applyBorder="1" applyAlignment="1">
      <alignment horizontal="center" vertical="center"/>
    </xf>
    <xf numFmtId="0" fontId="15" fillId="0" borderId="23" xfId="3" applyFont="1" applyBorder="1" applyAlignment="1">
      <alignment horizontal="center" vertical="center" wrapText="1"/>
    </xf>
    <xf numFmtId="0" fontId="9" fillId="0" borderId="1" xfId="4" applyFont="1" applyFill="1" applyBorder="1" applyAlignment="1">
      <alignment vertical="center" wrapText="1"/>
    </xf>
    <xf numFmtId="0" fontId="9" fillId="0" borderId="11" xfId="4" applyFont="1" applyFill="1" applyBorder="1" applyAlignment="1">
      <alignment horizontal="center" vertical="center"/>
    </xf>
    <xf numFmtId="0" fontId="9" fillId="0" borderId="5" xfId="4" applyFont="1" applyFill="1" applyBorder="1" applyAlignment="1">
      <alignment vertical="center"/>
    </xf>
    <xf numFmtId="0" fontId="15" fillId="0" borderId="5" xfId="3" applyFont="1" applyBorder="1" applyAlignment="1">
      <alignment vertical="center"/>
    </xf>
    <xf numFmtId="0" fontId="15" fillId="0" borderId="1" xfId="3" applyFont="1" applyBorder="1" applyAlignment="1">
      <alignment horizontal="center" vertical="center"/>
    </xf>
    <xf numFmtId="0" fontId="15" fillId="0" borderId="11" xfId="3" applyFont="1" applyBorder="1" applyAlignment="1">
      <alignment horizontal="center" vertical="center" wrapText="1"/>
    </xf>
    <xf numFmtId="0" fontId="17" fillId="0" borderId="5" xfId="0" applyFont="1" applyBorder="1" applyAlignment="1">
      <alignment vertical="center" wrapText="1"/>
    </xf>
    <xf numFmtId="0" fontId="17" fillId="0" borderId="1" xfId="0" applyFont="1" applyBorder="1" applyAlignment="1">
      <alignment vertical="center" wrapText="1"/>
    </xf>
    <xf numFmtId="0" fontId="18" fillId="0" borderId="5" xfId="0" applyFont="1" applyBorder="1" applyAlignment="1">
      <alignment vertical="center" wrapText="1"/>
    </xf>
    <xf numFmtId="0" fontId="18" fillId="0" borderId="1" xfId="0" applyFont="1" applyBorder="1" applyAlignment="1">
      <alignment vertical="center" wrapText="1"/>
    </xf>
    <xf numFmtId="0" fontId="19" fillId="0" borderId="11" xfId="0" applyFont="1" applyBorder="1" applyAlignment="1">
      <alignment horizontal="center"/>
    </xf>
    <xf numFmtId="0" fontId="19" fillId="0" borderId="11" xfId="0" applyFont="1" applyFill="1" applyBorder="1" applyAlignment="1">
      <alignment horizontal="center"/>
    </xf>
    <xf numFmtId="0" fontId="18" fillId="0" borderId="11" xfId="0" applyFont="1" applyBorder="1" applyAlignment="1">
      <alignment horizontal="center" vertical="center" wrapText="1"/>
    </xf>
    <xf numFmtId="0" fontId="0" fillId="0" borderId="5" xfId="0" applyFont="1" applyBorder="1" applyAlignment="1">
      <alignment vertical="top"/>
    </xf>
    <xf numFmtId="0" fontId="0" fillId="0" borderId="1" xfId="0" applyFont="1" applyBorder="1" applyAlignment="1">
      <alignment vertical="top" wrapText="1"/>
    </xf>
    <xf numFmtId="0" fontId="0" fillId="0" borderId="11" xfId="0" applyFont="1" applyBorder="1" applyAlignment="1">
      <alignment horizontal="center" vertical="top"/>
    </xf>
    <xf numFmtId="0" fontId="0" fillId="0" borderId="5" xfId="0" applyFont="1" applyFill="1" applyBorder="1" applyAlignment="1">
      <alignment vertical="top"/>
    </xf>
    <xf numFmtId="0" fontId="0" fillId="0" borderId="1" xfId="0" applyFont="1" applyFill="1" applyBorder="1" applyAlignment="1">
      <alignment vertical="top" wrapText="1"/>
    </xf>
    <xf numFmtId="0" fontId="0" fillId="0" borderId="11" xfId="0" applyFont="1" applyFill="1" applyBorder="1" applyAlignment="1">
      <alignment horizontal="center" vertical="top"/>
    </xf>
    <xf numFmtId="0" fontId="0" fillId="0" borderId="12" xfId="0" applyFont="1" applyBorder="1" applyAlignment="1">
      <alignment vertical="top"/>
    </xf>
    <xf numFmtId="0" fontId="0" fillId="0" borderId="13" xfId="0" applyFont="1" applyBorder="1" applyAlignment="1">
      <alignment vertical="top" wrapText="1"/>
    </xf>
    <xf numFmtId="0" fontId="0" fillId="0" borderId="14" xfId="0" applyFont="1" applyBorder="1" applyAlignment="1">
      <alignment horizontal="center" vertical="top"/>
    </xf>
    <xf numFmtId="0" fontId="5" fillId="0" borderId="0" xfId="0" applyFont="1" applyAlignment="1">
      <alignment horizontal="left" vertical="center" wrapText="1"/>
    </xf>
    <xf numFmtId="164" fontId="9" fillId="0" borderId="0" xfId="0" applyNumberFormat="1" applyFont="1" applyFill="1" applyBorder="1" applyAlignment="1">
      <alignment vertical="center"/>
    </xf>
    <xf numFmtId="164" fontId="6" fillId="0" borderId="2" xfId="0" applyNumberFormat="1" applyFont="1" applyFill="1" applyBorder="1" applyAlignment="1">
      <alignment horizontal="center" vertical="center"/>
    </xf>
    <xf numFmtId="164" fontId="6" fillId="0" borderId="6" xfId="0" applyNumberFormat="1" applyFont="1" applyFill="1" applyBorder="1" applyAlignment="1">
      <alignment horizontal="center" vertical="center"/>
    </xf>
    <xf numFmtId="164" fontId="6" fillId="0" borderId="2" xfId="0" applyNumberFormat="1" applyFont="1" applyFill="1" applyBorder="1" applyAlignment="1">
      <alignment horizontal="center" vertical="center" wrapText="1"/>
    </xf>
    <xf numFmtId="164" fontId="6" fillId="0" borderId="20" xfId="0" applyNumberFormat="1" applyFont="1" applyFill="1" applyBorder="1" applyAlignment="1">
      <alignment horizontal="center" vertical="center" wrapText="1"/>
    </xf>
    <xf numFmtId="164" fontId="6" fillId="0" borderId="6"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Border="1" applyAlignment="1">
      <alignment horizontal="left" vertical="center"/>
    </xf>
    <xf numFmtId="164" fontId="6" fillId="0" borderId="20" xfId="0" applyNumberFormat="1" applyFont="1" applyFill="1" applyBorder="1" applyAlignment="1">
      <alignment horizontal="center" vertical="center"/>
    </xf>
    <xf numFmtId="164" fontId="6" fillId="0" borderId="2" xfId="0" quotePrefix="1" applyNumberFormat="1" applyFont="1" applyFill="1" applyBorder="1" applyAlignment="1">
      <alignment horizontal="center" vertical="center" wrapText="1"/>
    </xf>
    <xf numFmtId="0" fontId="4" fillId="0" borderId="2" xfId="0" applyFont="1" applyBorder="1" applyAlignment="1">
      <alignment horizontal="center" vertical="center"/>
    </xf>
    <xf numFmtId="0" fontId="4" fillId="0" borderId="20" xfId="0" applyFont="1" applyBorder="1" applyAlignment="1">
      <alignment horizontal="center" vertical="center"/>
    </xf>
    <xf numFmtId="0" fontId="4" fillId="0" borderId="6" xfId="0" applyFont="1" applyBorder="1" applyAlignment="1">
      <alignment horizontal="center" vertical="center"/>
    </xf>
    <xf numFmtId="0" fontId="6" fillId="5" borderId="2" xfId="0" applyFont="1" applyFill="1" applyBorder="1" applyAlignment="1">
      <alignment horizontal="left" vertical="center" wrapText="1"/>
    </xf>
    <xf numFmtId="0" fontId="6" fillId="5" borderId="20" xfId="0" applyFont="1" applyFill="1" applyBorder="1" applyAlignment="1">
      <alignment horizontal="left" vertical="center" wrapText="1"/>
    </xf>
    <xf numFmtId="0" fontId="6" fillId="5" borderId="6" xfId="0" applyFont="1" applyFill="1" applyBorder="1" applyAlignment="1">
      <alignment horizontal="left" vertical="center" wrapText="1"/>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 xfId="0" applyFont="1" applyBorder="1" applyAlignment="1">
      <alignment vertical="center"/>
    </xf>
    <xf numFmtId="0" fontId="6" fillId="0" borderId="1" xfId="0" applyFont="1" applyBorder="1" applyAlignment="1">
      <alignment vertical="center"/>
    </xf>
    <xf numFmtId="0" fontId="7" fillId="0" borderId="1" xfId="0" applyFont="1" applyFill="1" applyBorder="1" applyAlignment="1">
      <alignment vertical="center"/>
    </xf>
    <xf numFmtId="0" fontId="4" fillId="0" borderId="1" xfId="0" applyFont="1" applyFill="1" applyBorder="1" applyAlignment="1">
      <alignment horizontal="center" vertical="center" wrapText="1"/>
    </xf>
    <xf numFmtId="0" fontId="4" fillId="0" borderId="7" xfId="0" applyFont="1" applyBorder="1" applyAlignment="1">
      <alignment horizontal="left" vertical="center" wrapText="1"/>
    </xf>
    <xf numFmtId="0" fontId="4" fillId="0" borderId="7"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left" vertical="center"/>
    </xf>
    <xf numFmtId="164" fontId="11" fillId="0" borderId="7" xfId="2" applyNumberFormat="1" applyFont="1" applyBorder="1" applyAlignment="1">
      <alignment horizontal="center" vertical="center" wrapText="1"/>
    </xf>
    <xf numFmtId="164" fontId="11" fillId="0" borderId="17" xfId="0" applyNumberFormat="1" applyFont="1" applyBorder="1" applyAlignment="1">
      <alignment horizontal="center" vertical="center" wrapText="1"/>
    </xf>
    <xf numFmtId="164" fontId="11" fillId="0" borderId="4" xfId="0" applyNumberFormat="1" applyFont="1" applyBorder="1" applyAlignment="1">
      <alignment horizontal="center" vertical="center" wrapText="1"/>
    </xf>
    <xf numFmtId="0" fontId="12" fillId="0" borderId="18" xfId="0" applyFont="1" applyBorder="1" applyAlignment="1">
      <alignment horizontal="left"/>
    </xf>
    <xf numFmtId="0" fontId="12" fillId="0" borderId="19" xfId="0" applyFont="1" applyBorder="1" applyAlignment="1">
      <alignment horizontal="left"/>
    </xf>
    <xf numFmtId="0" fontId="6" fillId="0" borderId="1" xfId="0" applyFont="1" applyFill="1" applyBorder="1" applyAlignment="1">
      <alignment horizontal="left" vertical="center"/>
    </xf>
    <xf numFmtId="0" fontId="6" fillId="0" borderId="25"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2" fillId="0" borderId="28" xfId="3" applyFont="1" applyBorder="1" applyAlignment="1">
      <alignment horizontal="center" vertical="center"/>
    </xf>
    <xf numFmtId="0" fontId="2" fillId="0" borderId="29" xfId="3" applyFont="1" applyBorder="1" applyAlignment="1">
      <alignment horizontal="center" vertical="center"/>
    </xf>
    <xf numFmtId="0" fontId="2" fillId="0" borderId="30" xfId="3" applyFont="1" applyBorder="1" applyAlignment="1">
      <alignment horizontal="center" vertical="center"/>
    </xf>
    <xf numFmtId="0" fontId="2" fillId="0" borderId="25" xfId="6" applyFont="1" applyFill="1" applyBorder="1" applyAlignment="1">
      <alignment horizontal="center" vertical="center"/>
    </xf>
    <xf numFmtId="0" fontId="2" fillId="0" borderId="26" xfId="6" applyFont="1" applyFill="1" applyBorder="1" applyAlignment="1">
      <alignment horizontal="center" vertical="center"/>
    </xf>
    <xf numFmtId="0" fontId="2" fillId="0" borderId="27" xfId="6" applyFont="1" applyFill="1" applyBorder="1" applyAlignment="1">
      <alignment horizontal="center" vertical="center"/>
    </xf>
  </cellXfs>
  <cellStyles count="9">
    <cellStyle name="Comma" xfId="1" builtinId="3"/>
    <cellStyle name="Normal" xfId="0" builtinId="0"/>
    <cellStyle name="Normal 10 2" xfId="5"/>
    <cellStyle name="Normal 2 2" xfId="3"/>
    <cellStyle name="Normal 2 2 2" xfId="6"/>
    <cellStyle name="Normal 3 7" xfId="4"/>
    <cellStyle name="Normal 4 3" xfId="8"/>
    <cellStyle name="Normal 5" xfId="7"/>
    <cellStyle name="Percent" xfId="2" builtinId="5"/>
  </cellStyles>
  <dxfs count="0"/>
  <tableStyles count="0" defaultTableStyle="TableStyleMedium2" defaultPivotStyle="PivotStyleLight16"/>
  <colors>
    <mruColors>
      <color rgb="FFE4DFEC"/>
      <color rgb="FFEEE4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8"/>
  <sheetViews>
    <sheetView tabSelected="1" zoomScale="90" zoomScaleNormal="90" workbookViewId="0"/>
  </sheetViews>
  <sheetFormatPr defaultRowHeight="14.4" x14ac:dyDescent="0.3"/>
  <cols>
    <col min="1" max="1" width="60.88671875" customWidth="1"/>
    <col min="2" max="16" width="16.6640625" customWidth="1"/>
  </cols>
  <sheetData>
    <row r="1" spans="1:16" ht="17.399999999999999" x14ac:dyDescent="0.3">
      <c r="A1" s="1" t="s">
        <v>121</v>
      </c>
      <c r="B1" s="1"/>
      <c r="C1" s="2"/>
      <c r="D1" s="3">
        <v>44733</v>
      </c>
      <c r="E1" s="2"/>
      <c r="F1" s="4" t="s">
        <v>0</v>
      </c>
      <c r="G1" s="5"/>
      <c r="H1" s="6"/>
      <c r="I1" s="7" t="s">
        <v>0</v>
      </c>
      <c r="J1" s="8" t="s">
        <v>0</v>
      </c>
    </row>
    <row r="2" spans="1:16" ht="15.6" x14ac:dyDescent="0.3">
      <c r="A2" s="9" t="s">
        <v>0</v>
      </c>
      <c r="B2" s="10"/>
      <c r="C2" s="10"/>
      <c r="D2" s="10"/>
      <c r="E2" s="10"/>
      <c r="F2" s="10"/>
      <c r="G2" s="10"/>
      <c r="H2" s="10"/>
      <c r="I2" s="8" t="s">
        <v>0</v>
      </c>
      <c r="J2" s="11" t="s">
        <v>0</v>
      </c>
      <c r="K2" s="10" t="s">
        <v>0</v>
      </c>
      <c r="L2" s="10"/>
      <c r="M2" s="12" t="s">
        <v>0</v>
      </c>
      <c r="N2" s="10"/>
    </row>
    <row r="3" spans="1:16" ht="17.399999999999999" x14ac:dyDescent="0.3">
      <c r="A3" s="13" t="s">
        <v>0</v>
      </c>
      <c r="B3" s="14" t="s">
        <v>1</v>
      </c>
      <c r="C3" s="207" t="s">
        <v>2</v>
      </c>
      <c r="D3" s="207"/>
      <c r="E3" s="207"/>
      <c r="F3" s="207"/>
      <c r="G3" s="207"/>
      <c r="H3" s="207"/>
      <c r="I3" s="207"/>
      <c r="J3" s="207"/>
      <c r="K3" s="207"/>
      <c r="L3" s="207"/>
      <c r="M3" s="207"/>
      <c r="N3" s="207"/>
      <c r="O3" s="207"/>
      <c r="P3" s="207"/>
    </row>
    <row r="4" spans="1:16" ht="15" x14ac:dyDescent="0.3">
      <c r="A4" s="13" t="s">
        <v>3</v>
      </c>
      <c r="B4" s="15">
        <v>0.14799999999999999</v>
      </c>
      <c r="C4" s="208" t="s">
        <v>172</v>
      </c>
      <c r="D4" s="208"/>
      <c r="E4" s="208"/>
      <c r="F4" s="208"/>
      <c r="G4" s="208"/>
      <c r="H4" s="208"/>
      <c r="I4" s="208"/>
      <c r="J4" s="208"/>
      <c r="K4" s="208"/>
      <c r="L4" s="208"/>
      <c r="M4" s="208"/>
      <c r="N4" s="208"/>
      <c r="O4" s="208"/>
      <c r="P4" s="208"/>
    </row>
    <row r="5" spans="1:16" ht="15" x14ac:dyDescent="0.3">
      <c r="A5" s="13" t="s">
        <v>4</v>
      </c>
      <c r="B5" s="16">
        <v>5.04E-2</v>
      </c>
      <c r="C5" s="208" t="s">
        <v>172</v>
      </c>
      <c r="D5" s="208"/>
      <c r="E5" s="208"/>
      <c r="F5" s="208"/>
      <c r="G5" s="208"/>
      <c r="H5" s="208"/>
      <c r="I5" s="208"/>
      <c r="J5" s="208"/>
      <c r="K5" s="208"/>
      <c r="L5" s="208"/>
      <c r="M5" s="208"/>
      <c r="N5" s="208"/>
      <c r="O5" s="208"/>
      <c r="P5" s="208"/>
    </row>
    <row r="6" spans="1:16" ht="15" x14ac:dyDescent="0.3">
      <c r="A6" s="13" t="s">
        <v>5</v>
      </c>
      <c r="B6" s="17">
        <v>1.0901000000000001</v>
      </c>
      <c r="C6" s="208" t="s">
        <v>172</v>
      </c>
      <c r="D6" s="208"/>
      <c r="E6" s="208"/>
      <c r="F6" s="208"/>
      <c r="G6" s="208"/>
      <c r="H6" s="208"/>
      <c r="I6" s="208"/>
      <c r="J6" s="208"/>
      <c r="K6" s="208"/>
      <c r="L6" s="208"/>
      <c r="M6" s="208"/>
      <c r="N6" s="208"/>
      <c r="O6" s="208"/>
      <c r="P6" s="208"/>
    </row>
    <row r="7" spans="1:16" ht="15" x14ac:dyDescent="0.3">
      <c r="A7" s="13" t="s">
        <v>6</v>
      </c>
      <c r="B7" s="18">
        <f>F46</f>
        <v>149680</v>
      </c>
      <c r="C7" s="209" t="s">
        <v>191</v>
      </c>
      <c r="D7" s="209"/>
      <c r="E7" s="209"/>
      <c r="F7" s="209"/>
      <c r="G7" s="209"/>
      <c r="H7" s="209"/>
      <c r="I7" s="209"/>
      <c r="J7" s="209"/>
      <c r="K7" s="209"/>
      <c r="L7" s="209"/>
      <c r="M7" s="209"/>
      <c r="N7" s="209"/>
      <c r="O7" s="209"/>
      <c r="P7" s="209"/>
    </row>
    <row r="8" spans="1:16" ht="15.6" x14ac:dyDescent="0.3">
      <c r="A8" s="13" t="s">
        <v>0</v>
      </c>
      <c r="B8" s="19" t="s">
        <v>0</v>
      </c>
      <c r="C8" s="210" t="s">
        <v>7</v>
      </c>
      <c r="D8" s="210"/>
      <c r="E8" s="210"/>
      <c r="F8" s="210"/>
      <c r="G8" s="210"/>
      <c r="H8" s="210"/>
      <c r="I8" s="210"/>
      <c r="J8" s="210"/>
      <c r="K8" s="210"/>
      <c r="L8" s="210"/>
      <c r="M8" s="210"/>
      <c r="N8" s="210"/>
      <c r="O8" s="210"/>
      <c r="P8" s="210"/>
    </row>
    <row r="9" spans="1:16" ht="15.6" x14ac:dyDescent="0.3">
      <c r="A9" s="20" t="s">
        <v>0</v>
      </c>
      <c r="B9" s="21" t="s">
        <v>1</v>
      </c>
      <c r="C9" s="21" t="s">
        <v>8</v>
      </c>
      <c r="D9" s="21" t="s">
        <v>9</v>
      </c>
      <c r="E9" s="21" t="s">
        <v>10</v>
      </c>
      <c r="F9" s="21" t="s">
        <v>11</v>
      </c>
      <c r="G9" s="21" t="s">
        <v>12</v>
      </c>
      <c r="H9" s="21" t="s">
        <v>13</v>
      </c>
      <c r="I9" s="21" t="s">
        <v>14</v>
      </c>
      <c r="J9" s="22" t="s">
        <v>15</v>
      </c>
      <c r="K9" s="22" t="s">
        <v>16</v>
      </c>
      <c r="L9" s="23" t="s">
        <v>17</v>
      </c>
      <c r="M9" s="23" t="s">
        <v>18</v>
      </c>
      <c r="N9" s="23" t="s">
        <v>19</v>
      </c>
      <c r="O9" s="23" t="s">
        <v>20</v>
      </c>
      <c r="P9" s="23" t="s">
        <v>21</v>
      </c>
    </row>
    <row r="10" spans="1:16" ht="15" x14ac:dyDescent="0.3">
      <c r="A10" s="24" t="s">
        <v>22</v>
      </c>
      <c r="B10" s="25" t="s">
        <v>23</v>
      </c>
      <c r="C10" s="26">
        <f>B74</f>
        <v>-4660</v>
      </c>
      <c r="D10" s="27">
        <f>B71</f>
        <v>3210</v>
      </c>
      <c r="E10" s="28">
        <f>B72</f>
        <v>5790</v>
      </c>
      <c r="F10" s="27">
        <f>B68</f>
        <v>5450</v>
      </c>
      <c r="G10" s="27">
        <f>B69</f>
        <v>2420</v>
      </c>
      <c r="H10" s="27">
        <f>B59</f>
        <v>1360</v>
      </c>
      <c r="I10" s="27">
        <f>B66</f>
        <v>3940</v>
      </c>
      <c r="J10" s="27">
        <f>B50</f>
        <v>4230</v>
      </c>
      <c r="K10" s="27">
        <f>B51</f>
        <v>3550</v>
      </c>
      <c r="L10" s="27">
        <f>B53</f>
        <v>-4060</v>
      </c>
      <c r="M10" s="28">
        <f>B52</f>
        <v>4660</v>
      </c>
      <c r="N10" s="27">
        <f>B67</f>
        <v>0</v>
      </c>
      <c r="O10" s="27">
        <f>B54</f>
        <v>2510</v>
      </c>
      <c r="P10" s="27">
        <f>B55</f>
        <v>3270</v>
      </c>
    </row>
    <row r="11" spans="1:16" ht="15" x14ac:dyDescent="0.3">
      <c r="A11" s="24" t="s">
        <v>24</v>
      </c>
      <c r="B11" s="25" t="s">
        <v>23</v>
      </c>
      <c r="C11" s="26">
        <f>C74</f>
        <v>6381</v>
      </c>
      <c r="D11" s="28">
        <f>C71</f>
        <v>8704</v>
      </c>
      <c r="E11" s="28">
        <f>C72</f>
        <v>8389</v>
      </c>
      <c r="F11" s="28">
        <f>C68</f>
        <v>9022</v>
      </c>
      <c r="G11" s="28">
        <f>C69</f>
        <v>4349</v>
      </c>
      <c r="H11" s="28">
        <f>C59</f>
        <v>2008</v>
      </c>
      <c r="I11" s="28">
        <f>C66</f>
        <v>7160</v>
      </c>
      <c r="J11" s="28">
        <f>C50</f>
        <v>10213</v>
      </c>
      <c r="K11" s="28">
        <f>C51</f>
        <v>4728</v>
      </c>
      <c r="L11" s="28">
        <f>C53</f>
        <v>5781</v>
      </c>
      <c r="M11" s="28">
        <f>C52</f>
        <v>5615</v>
      </c>
      <c r="N11" s="28">
        <f>C67</f>
        <v>4916</v>
      </c>
      <c r="O11" s="28">
        <f>C54</f>
        <v>4022</v>
      </c>
      <c r="P11" s="28">
        <f>C55</f>
        <v>5632</v>
      </c>
    </row>
    <row r="12" spans="1:16" ht="15" x14ac:dyDescent="0.3">
      <c r="A12" s="29" t="s">
        <v>25</v>
      </c>
      <c r="B12" s="25">
        <f>ROUND((B7*B6),1)</f>
        <v>163166.20000000001</v>
      </c>
      <c r="C12" s="26">
        <v>63819</v>
      </c>
      <c r="D12" s="30">
        <v>35590</v>
      </c>
      <c r="E12" s="31">
        <v>14329</v>
      </c>
      <c r="F12" s="30">
        <v>11217</v>
      </c>
      <c r="G12" s="30">
        <v>5768</v>
      </c>
      <c r="H12" s="30">
        <v>3141</v>
      </c>
      <c r="I12" s="30">
        <v>7163</v>
      </c>
      <c r="J12" s="30">
        <v>14649</v>
      </c>
      <c r="K12" s="30">
        <v>5363</v>
      </c>
      <c r="L12" s="30">
        <v>24077</v>
      </c>
      <c r="M12" s="31">
        <v>7522</v>
      </c>
      <c r="N12" s="30">
        <v>10251</v>
      </c>
      <c r="O12" s="30">
        <v>3924</v>
      </c>
      <c r="P12" s="30">
        <v>6847</v>
      </c>
    </row>
    <row r="13" spans="1:16" ht="15" x14ac:dyDescent="0.3">
      <c r="A13" s="24" t="s">
        <v>26</v>
      </c>
      <c r="B13" s="32">
        <f>H46</f>
        <v>28754.987492917571</v>
      </c>
      <c r="C13" s="33">
        <f>H74</f>
        <v>0</v>
      </c>
      <c r="D13" s="33">
        <f>H71</f>
        <v>0</v>
      </c>
      <c r="E13" s="33">
        <f>H72</f>
        <v>0</v>
      </c>
      <c r="F13" s="33">
        <f>H68</f>
        <v>0</v>
      </c>
      <c r="G13" s="33">
        <f>H69</f>
        <v>0</v>
      </c>
      <c r="H13" s="33">
        <f>H59</f>
        <v>0</v>
      </c>
      <c r="I13" s="33">
        <f>H66</f>
        <v>0</v>
      </c>
      <c r="J13" s="33">
        <f>H50</f>
        <v>0</v>
      </c>
      <c r="K13" s="33">
        <f>H51</f>
        <v>0</v>
      </c>
      <c r="L13" s="32">
        <f>H53</f>
        <v>0</v>
      </c>
      <c r="M13" s="33">
        <f>H52</f>
        <v>0</v>
      </c>
      <c r="N13" s="33">
        <f>H67</f>
        <v>0</v>
      </c>
      <c r="O13" s="33">
        <f>H54</f>
        <v>0</v>
      </c>
      <c r="P13" s="34">
        <f>H55</f>
        <v>782.81294589178356</v>
      </c>
    </row>
    <row r="14" spans="1:16" ht="15" x14ac:dyDescent="0.3">
      <c r="A14" s="24" t="s">
        <v>27</v>
      </c>
      <c r="B14" s="32">
        <f>ROUND(B13*$B$6,1)</f>
        <v>31345.8</v>
      </c>
      <c r="C14" s="33">
        <f t="shared" ref="C14:I14" si="0">ROUND(C13*$B$6,1)</f>
        <v>0</v>
      </c>
      <c r="D14" s="33">
        <f t="shared" si="0"/>
        <v>0</v>
      </c>
      <c r="E14" s="33">
        <f t="shared" si="0"/>
        <v>0</v>
      </c>
      <c r="F14" s="33">
        <f t="shared" si="0"/>
        <v>0</v>
      </c>
      <c r="G14" s="33">
        <f t="shared" si="0"/>
        <v>0</v>
      </c>
      <c r="H14" s="33">
        <f t="shared" si="0"/>
        <v>0</v>
      </c>
      <c r="I14" s="33">
        <f t="shared" si="0"/>
        <v>0</v>
      </c>
      <c r="J14" s="33">
        <f t="shared" ref="J14:P14" si="1">ROUND(J13*$B$6,1)</f>
        <v>0</v>
      </c>
      <c r="K14" s="33">
        <f t="shared" si="1"/>
        <v>0</v>
      </c>
      <c r="L14" s="32">
        <f t="shared" si="1"/>
        <v>0</v>
      </c>
      <c r="M14" s="33">
        <f t="shared" si="1"/>
        <v>0</v>
      </c>
      <c r="N14" s="33">
        <f t="shared" si="1"/>
        <v>0</v>
      </c>
      <c r="O14" s="33">
        <f t="shared" si="1"/>
        <v>0</v>
      </c>
      <c r="P14" s="34">
        <f t="shared" si="1"/>
        <v>853.3</v>
      </c>
    </row>
    <row r="15" spans="1:16" ht="15.6" x14ac:dyDescent="0.3">
      <c r="A15" s="35" t="s">
        <v>28</v>
      </c>
      <c r="B15" s="36">
        <f>B12-B14</f>
        <v>131820.40000000002</v>
      </c>
      <c r="C15" s="36">
        <f>C12-C14*C42</f>
        <v>63819</v>
      </c>
      <c r="D15" s="36">
        <f>D12-D14*D42</f>
        <v>35590</v>
      </c>
      <c r="E15" s="36">
        <f>E12-E14*E42</f>
        <v>14329</v>
      </c>
      <c r="F15" s="36">
        <f>F12-F14*F42</f>
        <v>11217</v>
      </c>
      <c r="G15" s="36">
        <f t="shared" ref="G15:O15" si="2">G12-G14</f>
        <v>5768</v>
      </c>
      <c r="H15" s="36">
        <f t="shared" si="2"/>
        <v>3141</v>
      </c>
      <c r="I15" s="36">
        <f t="shared" si="2"/>
        <v>7163</v>
      </c>
      <c r="J15" s="36">
        <f>J12-J14*J42</f>
        <v>14649</v>
      </c>
      <c r="K15" s="36">
        <f>K12-K14</f>
        <v>5363</v>
      </c>
      <c r="L15" s="36">
        <f>L12-L14*L42</f>
        <v>24077</v>
      </c>
      <c r="M15" s="36">
        <f>M12-M14*M42</f>
        <v>7522</v>
      </c>
      <c r="N15" s="36">
        <f t="shared" si="2"/>
        <v>10251</v>
      </c>
      <c r="O15" s="36">
        <f t="shared" si="2"/>
        <v>3924</v>
      </c>
      <c r="P15" s="36">
        <f>P12-P14*P42</f>
        <v>6658.4206999999997</v>
      </c>
    </row>
    <row r="16" spans="1:16" ht="15" x14ac:dyDescent="0.3">
      <c r="A16" s="37" t="s">
        <v>29</v>
      </c>
      <c r="B16" s="38">
        <f>'Net CONE'!E39</f>
        <v>327.61</v>
      </c>
      <c r="C16" s="38">
        <f>'Net CONE'!E27</f>
        <v>329.71</v>
      </c>
      <c r="D16" s="38">
        <f>'Net CONE'!E18</f>
        <v>331.78</v>
      </c>
      <c r="E16" s="38">
        <f>'Net CONE'!E22</f>
        <v>335.47</v>
      </c>
      <c r="F16" s="38">
        <f>'Net CONE'!E16</f>
        <v>331.78</v>
      </c>
      <c r="G16" s="38">
        <f>'Net CONE'!E16</f>
        <v>331.78</v>
      </c>
      <c r="H16" s="38">
        <f>'Net CONE'!E13</f>
        <v>331.78</v>
      </c>
      <c r="I16" s="38">
        <f>'Net CONE'!E21</f>
        <v>335.47</v>
      </c>
      <c r="J16" s="38">
        <f>'Net CONE'!E31</f>
        <v>321.48</v>
      </c>
      <c r="K16" s="38">
        <f>'Net CONE'!E31</f>
        <v>321.48</v>
      </c>
      <c r="L16" s="38">
        <f>'Net CONE'!E32</f>
        <v>321.48</v>
      </c>
      <c r="M16" s="38">
        <f>'Net CONE'!E20</f>
        <v>335.47</v>
      </c>
      <c r="N16" s="38">
        <f>'Net CONE'!E26</f>
        <v>321.72000000000003</v>
      </c>
      <c r="O16" s="38">
        <f>'Net CONE'!E33</f>
        <v>321.48</v>
      </c>
      <c r="P16" s="38">
        <f>'Net CONE'!E34</f>
        <v>321.48</v>
      </c>
    </row>
    <row r="17" spans="1:16" ht="15.6" x14ac:dyDescent="0.3">
      <c r="A17" s="39" t="s">
        <v>30</v>
      </c>
      <c r="B17" s="40">
        <f>'Net CONE'!J39</f>
        <v>274.95999999999998</v>
      </c>
      <c r="C17" s="40">
        <f>'Net CONE'!J27</f>
        <v>275.08</v>
      </c>
      <c r="D17" s="40">
        <f>'Net CONE'!J18</f>
        <v>291.36</v>
      </c>
      <c r="E17" s="40">
        <f>'Net CONE'!J22</f>
        <v>244.72</v>
      </c>
      <c r="F17" s="40">
        <f>'Net CONE'!J16</f>
        <v>299.61</v>
      </c>
      <c r="G17" s="40">
        <f>'Net CONE'!J16</f>
        <v>299.61</v>
      </c>
      <c r="H17" s="40">
        <f>'Net CONE'!J13</f>
        <v>264.91000000000003</v>
      </c>
      <c r="I17" s="40">
        <f>'Net CONE'!J21</f>
        <v>270</v>
      </c>
      <c r="J17" s="40">
        <f>'Net CONE'!J31</f>
        <v>263.07</v>
      </c>
      <c r="K17" s="40">
        <f>'Net CONE'!J31</f>
        <v>263.07</v>
      </c>
      <c r="L17" s="40">
        <f>'Net CONE'!J32</f>
        <v>284.97000000000003</v>
      </c>
      <c r="M17" s="40">
        <f>'Net CONE'!J20</f>
        <v>219.44</v>
      </c>
      <c r="N17" s="40">
        <f>'Net CONE'!J26</f>
        <v>279.52</v>
      </c>
      <c r="O17" s="40">
        <f>'Net CONE'!J33</f>
        <v>246.93</v>
      </c>
      <c r="P17" s="40">
        <f>'Net CONE'!J34</f>
        <v>252.63</v>
      </c>
    </row>
    <row r="18" spans="1:16" ht="15" x14ac:dyDescent="0.3">
      <c r="A18" s="41" t="s">
        <v>31</v>
      </c>
      <c r="B18" s="25">
        <v>5471.0999999999995</v>
      </c>
      <c r="C18" s="25">
        <v>2198.2000000000003</v>
      </c>
      <c r="D18" s="25">
        <v>1178.7</v>
      </c>
      <c r="E18" s="25">
        <v>540.1</v>
      </c>
      <c r="F18" s="25">
        <v>383.1</v>
      </c>
      <c r="G18" s="25">
        <v>175.9</v>
      </c>
      <c r="H18" s="25">
        <v>51.2</v>
      </c>
      <c r="I18" s="25">
        <v>283.10000000000002</v>
      </c>
      <c r="J18" s="25">
        <v>424.79999999999995</v>
      </c>
      <c r="K18" s="25">
        <v>42.9</v>
      </c>
      <c r="L18" s="25">
        <v>961.19999999999982</v>
      </c>
      <c r="M18" s="25">
        <v>257</v>
      </c>
      <c r="N18" s="25">
        <v>287.90000000000003</v>
      </c>
      <c r="O18" s="25">
        <v>93.5</v>
      </c>
      <c r="P18" s="25">
        <v>157.30000000000001</v>
      </c>
    </row>
    <row r="19" spans="1:16" ht="16.2" thickBot="1" x14ac:dyDescent="0.35">
      <c r="A19" s="211" t="s">
        <v>32</v>
      </c>
      <c r="B19" s="211"/>
      <c r="C19" s="211"/>
      <c r="D19" s="211"/>
      <c r="E19" s="211"/>
      <c r="F19" s="211"/>
      <c r="G19" s="211"/>
      <c r="H19" s="211"/>
      <c r="I19" s="211"/>
      <c r="J19" s="211"/>
      <c r="K19" s="211"/>
      <c r="L19" s="211"/>
      <c r="M19" s="211"/>
      <c r="N19" s="211"/>
      <c r="O19" s="211"/>
      <c r="P19" s="211"/>
    </row>
    <row r="20" spans="1:16" ht="15" x14ac:dyDescent="0.3">
      <c r="A20" s="139" t="s">
        <v>33</v>
      </c>
      <c r="B20" s="140">
        <f>ROUND(MAX(B16,1.5*B17),2)</f>
        <v>412.44</v>
      </c>
      <c r="C20" s="140">
        <f t="shared" ref="C20:N20" si="3">ROUND(MAX(C16,1.5*C17),2)</f>
        <v>412.62</v>
      </c>
      <c r="D20" s="140">
        <f t="shared" si="3"/>
        <v>437.04</v>
      </c>
      <c r="E20" s="140">
        <f t="shared" si="3"/>
        <v>367.08</v>
      </c>
      <c r="F20" s="140">
        <f t="shared" si="3"/>
        <v>449.42</v>
      </c>
      <c r="G20" s="140">
        <f t="shared" si="3"/>
        <v>449.42</v>
      </c>
      <c r="H20" s="140">
        <f>ROUND(MAX(H16,1.5*H17),2)</f>
        <v>397.37</v>
      </c>
      <c r="I20" s="140">
        <f t="shared" si="3"/>
        <v>405</v>
      </c>
      <c r="J20" s="140">
        <f t="shared" si="3"/>
        <v>394.61</v>
      </c>
      <c r="K20" s="140">
        <f t="shared" si="3"/>
        <v>394.61</v>
      </c>
      <c r="L20" s="140">
        <f t="shared" si="3"/>
        <v>427.46</v>
      </c>
      <c r="M20" s="140">
        <f t="shared" si="3"/>
        <v>335.47</v>
      </c>
      <c r="N20" s="140">
        <f t="shared" si="3"/>
        <v>419.28</v>
      </c>
      <c r="O20" s="140">
        <f>ROUND(MAX(O16,1.5*O17),2)</f>
        <v>370.4</v>
      </c>
      <c r="P20" s="141">
        <f>ROUND(MAX(P16,1.5*P17),2)</f>
        <v>378.95</v>
      </c>
    </row>
    <row r="21" spans="1:16" ht="15" x14ac:dyDescent="0.3">
      <c r="A21" s="142" t="s">
        <v>34</v>
      </c>
      <c r="B21" s="143">
        <f>ROUND(B$17*0.75,2)</f>
        <v>206.22</v>
      </c>
      <c r="C21" s="143">
        <f t="shared" ref="C21:M21" si="4">ROUND(C$17*0.75,2)</f>
        <v>206.31</v>
      </c>
      <c r="D21" s="143">
        <f t="shared" si="4"/>
        <v>218.52</v>
      </c>
      <c r="E21" s="143">
        <f t="shared" si="4"/>
        <v>183.54</v>
      </c>
      <c r="F21" s="143">
        <f t="shared" si="4"/>
        <v>224.71</v>
      </c>
      <c r="G21" s="143">
        <f t="shared" si="4"/>
        <v>224.71</v>
      </c>
      <c r="H21" s="143">
        <f t="shared" si="4"/>
        <v>198.68</v>
      </c>
      <c r="I21" s="143">
        <f t="shared" si="4"/>
        <v>202.5</v>
      </c>
      <c r="J21" s="143">
        <f t="shared" si="4"/>
        <v>197.3</v>
      </c>
      <c r="K21" s="143">
        <f t="shared" si="4"/>
        <v>197.3</v>
      </c>
      <c r="L21" s="143">
        <f t="shared" si="4"/>
        <v>213.73</v>
      </c>
      <c r="M21" s="143">
        <f t="shared" si="4"/>
        <v>164.58</v>
      </c>
      <c r="N21" s="143">
        <f>ROUND(N$17*0.75,2)</f>
        <v>209.64</v>
      </c>
      <c r="O21" s="143">
        <f>ROUND(O$17*0.75,2)</f>
        <v>185.2</v>
      </c>
      <c r="P21" s="144">
        <f>ROUND(P$17*0.75,2)</f>
        <v>189.47</v>
      </c>
    </row>
    <row r="22" spans="1:16" ht="15" x14ac:dyDescent="0.3">
      <c r="A22" s="142" t="s">
        <v>35</v>
      </c>
      <c r="B22" s="143">
        <v>0</v>
      </c>
      <c r="C22" s="143">
        <v>0</v>
      </c>
      <c r="D22" s="143">
        <v>0</v>
      </c>
      <c r="E22" s="143">
        <v>0</v>
      </c>
      <c r="F22" s="143">
        <v>0</v>
      </c>
      <c r="G22" s="143">
        <v>0</v>
      </c>
      <c r="H22" s="143">
        <v>0</v>
      </c>
      <c r="I22" s="143">
        <v>0</v>
      </c>
      <c r="J22" s="143">
        <v>0</v>
      </c>
      <c r="K22" s="143">
        <v>0</v>
      </c>
      <c r="L22" s="143">
        <v>0</v>
      </c>
      <c r="M22" s="143">
        <v>0</v>
      </c>
      <c r="N22" s="143">
        <v>0</v>
      </c>
      <c r="O22" s="143">
        <v>0</v>
      </c>
      <c r="P22" s="144">
        <v>0</v>
      </c>
    </row>
    <row r="23" spans="1:16" ht="15" x14ac:dyDescent="0.3">
      <c r="A23" s="142" t="s">
        <v>36</v>
      </c>
      <c r="B23" s="145">
        <f>ROUND(B$15*(1+$B$4-1.2%)/(1+$B$4),1)+B$18</f>
        <v>135913.60000000001</v>
      </c>
      <c r="C23" s="145">
        <f t="shared" ref="C23:P23" si="5">ROUND(C$15*(1+$B$4-1.2%)/(1+$B$4),1)+C$18</f>
        <v>65350.1</v>
      </c>
      <c r="D23" s="145">
        <f t="shared" si="5"/>
        <v>36396.699999999997</v>
      </c>
      <c r="E23" s="145">
        <f t="shared" si="5"/>
        <v>14719.300000000001</v>
      </c>
      <c r="F23" s="145">
        <f t="shared" si="5"/>
        <v>11482.800000000001</v>
      </c>
      <c r="G23" s="145">
        <f t="shared" si="5"/>
        <v>5883.5999999999995</v>
      </c>
      <c r="H23" s="145">
        <f t="shared" si="5"/>
        <v>3159.3999999999996</v>
      </c>
      <c r="I23" s="145">
        <f t="shared" si="5"/>
        <v>7371.2000000000007</v>
      </c>
      <c r="J23" s="145">
        <f t="shared" si="5"/>
        <v>14920.699999999999</v>
      </c>
      <c r="K23" s="145">
        <f t="shared" si="5"/>
        <v>5349.7999999999993</v>
      </c>
      <c r="L23" s="145">
        <f t="shared" si="5"/>
        <v>24786.5</v>
      </c>
      <c r="M23" s="145">
        <f t="shared" si="5"/>
        <v>7700.4</v>
      </c>
      <c r="N23" s="145">
        <f t="shared" si="5"/>
        <v>10431.699999999999</v>
      </c>
      <c r="O23" s="145">
        <f t="shared" si="5"/>
        <v>3976.5</v>
      </c>
      <c r="P23" s="146">
        <f t="shared" si="5"/>
        <v>6746.1</v>
      </c>
    </row>
    <row r="24" spans="1:16" ht="15" x14ac:dyDescent="0.3">
      <c r="A24" s="142" t="s">
        <v>37</v>
      </c>
      <c r="B24" s="145">
        <f>ROUND(B$15*(1+$B$4+1.9%)/(1+$B$4),1)+B$18</f>
        <v>139473.20000000001</v>
      </c>
      <c r="C24" s="145">
        <f t="shared" ref="C24:P24" si="6">ROUND(C$15*(1+$B$4+1.9%)/(1+$B$4),1)+C$18</f>
        <v>67073.399999999994</v>
      </c>
      <c r="D24" s="145">
        <f t="shared" si="6"/>
        <v>37357.699999999997</v>
      </c>
      <c r="E24" s="145">
        <f t="shared" si="6"/>
        <v>15106.300000000001</v>
      </c>
      <c r="F24" s="145">
        <f t="shared" si="6"/>
        <v>11785.7</v>
      </c>
      <c r="G24" s="145">
        <f t="shared" si="6"/>
        <v>6039.4</v>
      </c>
      <c r="H24" s="145">
        <f t="shared" si="6"/>
        <v>3244.2</v>
      </c>
      <c r="I24" s="145">
        <f t="shared" si="6"/>
        <v>7564.7000000000007</v>
      </c>
      <c r="J24" s="145">
        <f t="shared" si="6"/>
        <v>15316.199999999999</v>
      </c>
      <c r="K24" s="145">
        <f t="shared" si="6"/>
        <v>5494.7</v>
      </c>
      <c r="L24" s="145">
        <f t="shared" si="6"/>
        <v>25436.7</v>
      </c>
      <c r="M24" s="145">
        <f t="shared" si="6"/>
        <v>7903.5</v>
      </c>
      <c r="N24" s="145">
        <f t="shared" si="6"/>
        <v>10708.6</v>
      </c>
      <c r="O24" s="145">
        <f t="shared" si="6"/>
        <v>4082.4</v>
      </c>
      <c r="P24" s="146">
        <f t="shared" si="6"/>
        <v>6925.9000000000005</v>
      </c>
    </row>
    <row r="25" spans="1:16" ht="15.6" thickBot="1" x14ac:dyDescent="0.35">
      <c r="A25" s="147" t="s">
        <v>38</v>
      </c>
      <c r="B25" s="148">
        <f>ROUND(B$15*(1+$B$4+7.8%)/(1+$B$4),1)+B$18</f>
        <v>146247.9</v>
      </c>
      <c r="C25" s="148">
        <f t="shared" ref="C25:P25" si="7">ROUND(C$15*(1+$B$4+7.8%)/(1+$B$4),1)+C$18</f>
        <v>70353.3</v>
      </c>
      <c r="D25" s="148">
        <f t="shared" si="7"/>
        <v>39186.799999999996</v>
      </c>
      <c r="E25" s="148">
        <f t="shared" si="7"/>
        <v>15842.7</v>
      </c>
      <c r="F25" s="148">
        <f t="shared" si="7"/>
        <v>12362.2</v>
      </c>
      <c r="G25" s="148">
        <f t="shared" si="7"/>
        <v>6335.7999999999993</v>
      </c>
      <c r="H25" s="148">
        <f t="shared" si="7"/>
        <v>3405.6</v>
      </c>
      <c r="I25" s="148">
        <f t="shared" si="7"/>
        <v>7932.8</v>
      </c>
      <c r="J25" s="148">
        <f t="shared" si="7"/>
        <v>16069.099999999999</v>
      </c>
      <c r="K25" s="148">
        <f t="shared" si="7"/>
        <v>5770.2999999999993</v>
      </c>
      <c r="L25" s="148">
        <f t="shared" si="7"/>
        <v>26674.100000000002</v>
      </c>
      <c r="M25" s="148">
        <f t="shared" si="7"/>
        <v>8290.1</v>
      </c>
      <c r="N25" s="148">
        <f t="shared" si="7"/>
        <v>11235.4</v>
      </c>
      <c r="O25" s="148">
        <f t="shared" si="7"/>
        <v>4284.1000000000004</v>
      </c>
      <c r="P25" s="149">
        <f t="shared" si="7"/>
        <v>7268.1</v>
      </c>
    </row>
    <row r="26" spans="1:16" ht="15.6" x14ac:dyDescent="0.3">
      <c r="A26" s="151" t="s">
        <v>39</v>
      </c>
      <c r="B26" s="150">
        <f>C26+J26+L26+O26+P26</f>
        <v>235</v>
      </c>
      <c r="C26" s="150">
        <f>D26+E26+N26</f>
        <v>235</v>
      </c>
      <c r="D26" s="150">
        <f>22.6+H26</f>
        <v>38</v>
      </c>
      <c r="E26" s="150">
        <f>I26+M26</f>
        <v>197</v>
      </c>
      <c r="F26" s="150">
        <v>0</v>
      </c>
      <c r="G26" s="150">
        <v>0</v>
      </c>
      <c r="H26" s="150">
        <v>15.4</v>
      </c>
      <c r="I26" s="150">
        <v>110</v>
      </c>
      <c r="J26" s="150">
        <v>0</v>
      </c>
      <c r="K26" s="150">
        <v>0</v>
      </c>
      <c r="L26" s="150">
        <v>0</v>
      </c>
      <c r="M26" s="150">
        <v>87</v>
      </c>
      <c r="N26" s="150">
        <v>0</v>
      </c>
      <c r="O26" s="150">
        <v>0</v>
      </c>
      <c r="P26" s="150">
        <v>0</v>
      </c>
    </row>
    <row r="27" spans="1:16" ht="16.2" thickBot="1" x14ac:dyDescent="0.35">
      <c r="A27" s="212" t="s">
        <v>40</v>
      </c>
      <c r="B27" s="212"/>
      <c r="C27" s="212"/>
      <c r="D27" s="212"/>
      <c r="E27" s="212"/>
      <c r="F27" s="212"/>
      <c r="G27" s="212"/>
      <c r="H27" s="212"/>
      <c r="I27" s="212"/>
      <c r="J27" s="212"/>
      <c r="K27" s="212"/>
      <c r="L27" s="212"/>
      <c r="M27" s="212"/>
      <c r="N27" s="212"/>
      <c r="O27" s="212"/>
      <c r="P27" s="212"/>
    </row>
    <row r="28" spans="1:16" ht="15" x14ac:dyDescent="0.3">
      <c r="A28" s="42" t="s">
        <v>41</v>
      </c>
      <c r="B28" s="43">
        <f>B20</f>
        <v>412.44</v>
      </c>
      <c r="C28" s="43">
        <f t="shared" ref="C28:M29" si="8">C20</f>
        <v>412.62</v>
      </c>
      <c r="D28" s="43">
        <f t="shared" si="8"/>
        <v>437.04</v>
      </c>
      <c r="E28" s="43">
        <f t="shared" si="8"/>
        <v>367.08</v>
      </c>
      <c r="F28" s="43" t="s">
        <v>0</v>
      </c>
      <c r="G28" s="43" t="s">
        <v>0</v>
      </c>
      <c r="H28" s="43">
        <f t="shared" si="8"/>
        <v>397.37</v>
      </c>
      <c r="I28" s="43">
        <f t="shared" si="8"/>
        <v>405</v>
      </c>
      <c r="J28" s="43" t="s">
        <v>0</v>
      </c>
      <c r="K28" s="43" t="s">
        <v>0</v>
      </c>
      <c r="L28" s="43" t="s">
        <v>0</v>
      </c>
      <c r="M28" s="43">
        <f t="shared" si="8"/>
        <v>335.47</v>
      </c>
      <c r="N28" s="43" t="s">
        <v>0</v>
      </c>
      <c r="O28" s="43" t="s">
        <v>0</v>
      </c>
      <c r="P28" s="44" t="s">
        <v>0</v>
      </c>
    </row>
    <row r="29" spans="1:16" ht="15" x14ac:dyDescent="0.3">
      <c r="A29" s="45" t="s">
        <v>42</v>
      </c>
      <c r="B29" s="46">
        <f>B21</f>
        <v>206.22</v>
      </c>
      <c r="C29" s="46">
        <f t="shared" si="8"/>
        <v>206.31</v>
      </c>
      <c r="D29" s="46">
        <f t="shared" si="8"/>
        <v>218.52</v>
      </c>
      <c r="E29" s="46">
        <f t="shared" si="8"/>
        <v>183.54</v>
      </c>
      <c r="F29" s="46" t="s">
        <v>0</v>
      </c>
      <c r="G29" s="46" t="s">
        <v>0</v>
      </c>
      <c r="H29" s="46">
        <f t="shared" si="8"/>
        <v>198.68</v>
      </c>
      <c r="I29" s="46">
        <f t="shared" si="8"/>
        <v>202.5</v>
      </c>
      <c r="J29" s="46" t="s">
        <v>0</v>
      </c>
      <c r="K29" s="46" t="s">
        <v>0</v>
      </c>
      <c r="L29" s="46" t="s">
        <v>0</v>
      </c>
      <c r="M29" s="46">
        <f t="shared" si="8"/>
        <v>164.58</v>
      </c>
      <c r="N29" s="46" t="s">
        <v>0</v>
      </c>
      <c r="O29" s="46" t="s">
        <v>0</v>
      </c>
      <c r="P29" s="47" t="s">
        <v>0</v>
      </c>
    </row>
    <row r="30" spans="1:16" ht="15" x14ac:dyDescent="0.3">
      <c r="A30" s="45" t="s">
        <v>43</v>
      </c>
      <c r="B30" s="46">
        <v>0.01</v>
      </c>
      <c r="C30" s="46">
        <v>0.01</v>
      </c>
      <c r="D30" s="46">
        <v>0.01</v>
      </c>
      <c r="E30" s="46">
        <v>0.01</v>
      </c>
      <c r="F30" s="46" t="s">
        <v>0</v>
      </c>
      <c r="G30" s="46" t="s">
        <v>0</v>
      </c>
      <c r="H30" s="46">
        <v>0.01</v>
      </c>
      <c r="I30" s="46">
        <v>0.01</v>
      </c>
      <c r="J30" s="46" t="s">
        <v>0</v>
      </c>
      <c r="K30" s="46" t="s">
        <v>0</v>
      </c>
      <c r="L30" s="46" t="s">
        <v>0</v>
      </c>
      <c r="M30" s="46">
        <v>0.01</v>
      </c>
      <c r="N30" s="46" t="s">
        <v>0</v>
      </c>
      <c r="O30" s="46" t="s">
        <v>0</v>
      </c>
      <c r="P30" s="47" t="s">
        <v>0</v>
      </c>
    </row>
    <row r="31" spans="1:16" ht="15" x14ac:dyDescent="0.3">
      <c r="A31" s="45" t="s">
        <v>44</v>
      </c>
      <c r="B31" s="46">
        <v>0.01</v>
      </c>
      <c r="C31" s="46">
        <v>0.01</v>
      </c>
      <c r="D31" s="46">
        <v>0.01</v>
      </c>
      <c r="E31" s="46">
        <v>0.01</v>
      </c>
      <c r="F31" s="46" t="s">
        <v>0</v>
      </c>
      <c r="G31" s="46" t="s">
        <v>0</v>
      </c>
      <c r="H31" s="46">
        <v>0.01</v>
      </c>
      <c r="I31" s="46">
        <v>0.01</v>
      </c>
      <c r="J31" s="46" t="s">
        <v>0</v>
      </c>
      <c r="K31" s="46" t="s">
        <v>0</v>
      </c>
      <c r="L31" s="46" t="s">
        <v>0</v>
      </c>
      <c r="M31" s="46">
        <v>0.01</v>
      </c>
      <c r="N31" s="46" t="s">
        <v>0</v>
      </c>
      <c r="O31" s="46" t="s">
        <v>0</v>
      </c>
      <c r="P31" s="47" t="s">
        <v>0</v>
      </c>
    </row>
    <row r="32" spans="1:16" ht="15.6" thickBot="1" x14ac:dyDescent="0.35">
      <c r="A32" s="48" t="s">
        <v>35</v>
      </c>
      <c r="B32" s="152">
        <f>B22</f>
        <v>0</v>
      </c>
      <c r="C32" s="152">
        <f t="shared" ref="C32:M32" si="9">C22</f>
        <v>0</v>
      </c>
      <c r="D32" s="152">
        <f t="shared" si="9"/>
        <v>0</v>
      </c>
      <c r="E32" s="152">
        <f t="shared" si="9"/>
        <v>0</v>
      </c>
      <c r="F32" s="152" t="s">
        <v>0</v>
      </c>
      <c r="G32" s="152" t="s">
        <v>0</v>
      </c>
      <c r="H32" s="152">
        <f t="shared" si="9"/>
        <v>0</v>
      </c>
      <c r="I32" s="152">
        <f t="shared" si="9"/>
        <v>0</v>
      </c>
      <c r="J32" s="152" t="s">
        <v>0</v>
      </c>
      <c r="K32" s="152" t="s">
        <v>0</v>
      </c>
      <c r="L32" s="152" t="s">
        <v>0</v>
      </c>
      <c r="M32" s="152">
        <f t="shared" si="9"/>
        <v>0</v>
      </c>
      <c r="N32" s="152" t="s">
        <v>0</v>
      </c>
      <c r="O32" s="152" t="s">
        <v>0</v>
      </c>
      <c r="P32" s="153" t="s">
        <v>0</v>
      </c>
    </row>
    <row r="33" spans="1:16" ht="15" x14ac:dyDescent="0.3">
      <c r="A33" s="154" t="s">
        <v>45</v>
      </c>
      <c r="B33" s="155">
        <f>ROUND(B23-B$26*$B$6,1)</f>
        <v>135657.4</v>
      </c>
      <c r="C33" s="155">
        <f t="shared" ref="C33:I34" si="10">ROUND(C23-C$26*$B$6,1)</f>
        <v>65093.9</v>
      </c>
      <c r="D33" s="155">
        <f t="shared" si="10"/>
        <v>36355.300000000003</v>
      </c>
      <c r="E33" s="155">
        <f>ROUND(E23-E$26*$B$6,1)</f>
        <v>14504.6</v>
      </c>
      <c r="F33" s="155" t="s">
        <v>0</v>
      </c>
      <c r="G33" s="155" t="s">
        <v>0</v>
      </c>
      <c r="H33" s="155">
        <f t="shared" si="10"/>
        <v>3142.6</v>
      </c>
      <c r="I33" s="155">
        <f t="shared" si="10"/>
        <v>7251.3</v>
      </c>
      <c r="J33" s="155" t="s">
        <v>0</v>
      </c>
      <c r="K33" s="155" t="s">
        <v>0</v>
      </c>
      <c r="L33" s="155" t="s">
        <v>0</v>
      </c>
      <c r="M33" s="155">
        <f>ROUND(M23-M$26*$B$6,1)</f>
        <v>7605.6</v>
      </c>
      <c r="N33" s="155" t="s">
        <v>0</v>
      </c>
      <c r="O33" s="155" t="s">
        <v>0</v>
      </c>
      <c r="P33" s="155" t="s">
        <v>0</v>
      </c>
    </row>
    <row r="34" spans="1:16" ht="15" x14ac:dyDescent="0.3">
      <c r="A34" s="156" t="s">
        <v>46</v>
      </c>
      <c r="B34" s="157">
        <f>ROUND(B24-B$26*$B$6,1)</f>
        <v>139217</v>
      </c>
      <c r="C34" s="157">
        <f t="shared" si="10"/>
        <v>66817.2</v>
      </c>
      <c r="D34" s="157">
        <f t="shared" si="10"/>
        <v>37316.300000000003</v>
      </c>
      <c r="E34" s="157">
        <f>ROUND(E24-E$26*$B$6,1)</f>
        <v>14891.6</v>
      </c>
      <c r="F34" s="157" t="s">
        <v>0</v>
      </c>
      <c r="G34" s="157" t="s">
        <v>0</v>
      </c>
      <c r="H34" s="157">
        <f t="shared" si="10"/>
        <v>3227.4</v>
      </c>
      <c r="I34" s="157">
        <f t="shared" si="10"/>
        <v>7444.8</v>
      </c>
      <c r="J34" s="157" t="s">
        <v>0</v>
      </c>
      <c r="K34" s="157" t="s">
        <v>0</v>
      </c>
      <c r="L34" s="157" t="s">
        <v>0</v>
      </c>
      <c r="M34" s="157">
        <f>ROUND(M24-M$26*$B$6,1)</f>
        <v>7808.7</v>
      </c>
      <c r="N34" s="157" t="s">
        <v>0</v>
      </c>
      <c r="O34" s="157" t="s">
        <v>0</v>
      </c>
      <c r="P34" s="157" t="s">
        <v>0</v>
      </c>
    </row>
    <row r="35" spans="1:16" ht="15" x14ac:dyDescent="0.3">
      <c r="A35" s="156" t="s">
        <v>47</v>
      </c>
      <c r="B35" s="157">
        <f>ROUND(B36-B$26*$B$6,1)</f>
        <v>145991.4</v>
      </c>
      <c r="C35" s="157">
        <f t="shared" ref="C35:H35" si="11">ROUND(C36-C$26*$B$6,1)</f>
        <v>70096.899999999994</v>
      </c>
      <c r="D35" s="157">
        <f t="shared" si="11"/>
        <v>39145.300000000003</v>
      </c>
      <c r="E35" s="157">
        <f>ROUND(E36-E$26*$B$6,1)</f>
        <v>15628</v>
      </c>
      <c r="F35" s="157" t="s">
        <v>0</v>
      </c>
      <c r="G35" s="157" t="s">
        <v>0</v>
      </c>
      <c r="H35" s="157">
        <f t="shared" si="11"/>
        <v>3388.8</v>
      </c>
      <c r="I35" s="157">
        <f>ROUND(I36-I$26*$B$6,1)</f>
        <v>7812.9</v>
      </c>
      <c r="J35" s="157" t="s">
        <v>0</v>
      </c>
      <c r="K35" s="157" t="s">
        <v>0</v>
      </c>
      <c r="L35" s="157" t="s">
        <v>0</v>
      </c>
      <c r="M35" s="157">
        <f>ROUND(M36-M$26*$B$6,1)</f>
        <v>8195.2999999999993</v>
      </c>
      <c r="N35" s="157" t="s">
        <v>0</v>
      </c>
      <c r="O35" s="157" t="s">
        <v>0</v>
      </c>
      <c r="P35" s="157" t="s">
        <v>0</v>
      </c>
    </row>
    <row r="36" spans="1:16" ht="15" x14ac:dyDescent="0.3">
      <c r="A36" s="156" t="s">
        <v>48</v>
      </c>
      <c r="B36" s="157">
        <f>ROUND(B25-B31*(B25-B24)/B21,1)</f>
        <v>146247.6</v>
      </c>
      <c r="C36" s="157">
        <f>ROUND(C25-C31*(C25-C24)/C21,1)</f>
        <v>70353.100000000006</v>
      </c>
      <c r="D36" s="157">
        <f>ROUND(D25-D31*(D25-D24)/D21,1)</f>
        <v>39186.699999999997</v>
      </c>
      <c r="E36" s="157">
        <f>ROUND(E25-E31*(E25-E24)/E21,1)</f>
        <v>15842.7</v>
      </c>
      <c r="F36" s="157" t="s">
        <v>0</v>
      </c>
      <c r="G36" s="157" t="s">
        <v>0</v>
      </c>
      <c r="H36" s="157">
        <f>ROUND(H25-H31*(H25-H24)/H21,1)</f>
        <v>3405.6</v>
      </c>
      <c r="I36" s="157">
        <f>ROUND(I25-I31*(I25-I24)/I21,1)</f>
        <v>7932.8</v>
      </c>
      <c r="J36" s="157" t="s">
        <v>0</v>
      </c>
      <c r="K36" s="157" t="s">
        <v>0</v>
      </c>
      <c r="L36" s="157" t="s">
        <v>0</v>
      </c>
      <c r="M36" s="157">
        <f>ROUND(M25-M31*(M25-M24)/M21,1)</f>
        <v>8290.1</v>
      </c>
      <c r="N36" s="157" t="s">
        <v>0</v>
      </c>
      <c r="O36" s="157" t="s">
        <v>0</v>
      </c>
      <c r="P36" s="157" t="s">
        <v>0</v>
      </c>
    </row>
    <row r="37" spans="1:16" ht="15.6" thickBot="1" x14ac:dyDescent="0.35">
      <c r="A37" s="158" t="s">
        <v>38</v>
      </c>
      <c r="B37" s="159">
        <f>B25</f>
        <v>146247.9</v>
      </c>
      <c r="C37" s="159">
        <f t="shared" ref="C37:M37" si="12">C25</f>
        <v>70353.3</v>
      </c>
      <c r="D37" s="159">
        <f t="shared" si="12"/>
        <v>39186.799999999996</v>
      </c>
      <c r="E37" s="159">
        <f t="shared" si="12"/>
        <v>15842.7</v>
      </c>
      <c r="F37" s="159" t="s">
        <v>0</v>
      </c>
      <c r="G37" s="159" t="s">
        <v>0</v>
      </c>
      <c r="H37" s="159">
        <f t="shared" si="12"/>
        <v>3405.6</v>
      </c>
      <c r="I37" s="159">
        <f>I25</f>
        <v>7932.8</v>
      </c>
      <c r="J37" s="159" t="s">
        <v>0</v>
      </c>
      <c r="K37" s="159" t="s">
        <v>0</v>
      </c>
      <c r="L37" s="159" t="s">
        <v>0</v>
      </c>
      <c r="M37" s="159">
        <f t="shared" si="12"/>
        <v>8290.1</v>
      </c>
      <c r="N37" s="159" t="s">
        <v>0</v>
      </c>
      <c r="O37" s="159" t="s">
        <v>0</v>
      </c>
      <c r="P37" s="159" t="s">
        <v>0</v>
      </c>
    </row>
    <row r="38" spans="1:16" ht="15.6" x14ac:dyDescent="0.3">
      <c r="A38" s="49" t="s">
        <v>49</v>
      </c>
      <c r="B38" s="50">
        <f>ROUND(MAX(B$17*0.5, 20)*((DATE(LEFT($A$1,4)*1+1,5,31)-(DATE(LEFT($A$1,4)*1,6,1))+1)),2)</f>
        <v>50317.68</v>
      </c>
      <c r="C38" s="50">
        <f t="shared" ref="C38:P38" si="13">ROUND(MAX(C$17*0.5, 20)*((DATE(LEFT($A$1,4)*1+1,5,31)-(DATE(LEFT($A$1,4)*1,6,1))+1)),2)</f>
        <v>50339.64</v>
      </c>
      <c r="D38" s="50">
        <f t="shared" si="13"/>
        <v>53318.879999999997</v>
      </c>
      <c r="E38" s="50">
        <f t="shared" si="13"/>
        <v>44783.76</v>
      </c>
      <c r="F38" s="50">
        <f t="shared" si="13"/>
        <v>54828.63</v>
      </c>
      <c r="G38" s="50">
        <f t="shared" si="13"/>
        <v>54828.63</v>
      </c>
      <c r="H38" s="50">
        <f t="shared" si="13"/>
        <v>48478.53</v>
      </c>
      <c r="I38" s="50">
        <f t="shared" si="13"/>
        <v>49410</v>
      </c>
      <c r="J38" s="50">
        <f t="shared" si="13"/>
        <v>48141.81</v>
      </c>
      <c r="K38" s="50">
        <f t="shared" si="13"/>
        <v>48141.81</v>
      </c>
      <c r="L38" s="50">
        <f t="shared" si="13"/>
        <v>52149.51</v>
      </c>
      <c r="M38" s="50">
        <f t="shared" si="13"/>
        <v>40157.519999999997</v>
      </c>
      <c r="N38" s="50">
        <f t="shared" si="13"/>
        <v>51152.160000000003</v>
      </c>
      <c r="O38" s="50">
        <f t="shared" si="13"/>
        <v>45188.19</v>
      </c>
      <c r="P38" s="50">
        <f t="shared" si="13"/>
        <v>46231.29</v>
      </c>
    </row>
    <row r="39" spans="1:16" ht="15.6" x14ac:dyDescent="0.3">
      <c r="A39" s="49" t="s">
        <v>194</v>
      </c>
      <c r="B39" s="50">
        <v>50317.68</v>
      </c>
      <c r="C39" s="50">
        <v>50339.64</v>
      </c>
      <c r="D39" s="50">
        <v>53318.879999999997</v>
      </c>
      <c r="E39" s="50">
        <v>44783.76</v>
      </c>
      <c r="F39" s="50">
        <v>54828.63</v>
      </c>
      <c r="G39" s="50">
        <v>54828.63</v>
      </c>
      <c r="H39" s="50">
        <v>48478.53</v>
      </c>
      <c r="I39" s="50">
        <v>49410</v>
      </c>
      <c r="J39" s="50">
        <v>48141.81</v>
      </c>
      <c r="K39" s="50">
        <v>48141.81</v>
      </c>
      <c r="L39" s="50">
        <v>52149.51</v>
      </c>
      <c r="M39" s="50">
        <v>40157.519999999997</v>
      </c>
      <c r="N39" s="50">
        <v>51152.160000000003</v>
      </c>
      <c r="O39" s="50">
        <v>45188.19</v>
      </c>
      <c r="P39" s="50">
        <v>46231.29</v>
      </c>
    </row>
    <row r="40" spans="1:16" ht="15" x14ac:dyDescent="0.3">
      <c r="A40" s="24" t="s">
        <v>50</v>
      </c>
      <c r="B40" s="51" t="s">
        <v>23</v>
      </c>
      <c r="C40" s="52">
        <v>1557</v>
      </c>
      <c r="D40" s="52">
        <v>40</v>
      </c>
      <c r="E40" s="52" t="s">
        <v>23</v>
      </c>
      <c r="F40" s="52">
        <v>1070</v>
      </c>
      <c r="G40" s="52">
        <v>639</v>
      </c>
      <c r="H40" s="52">
        <v>72</v>
      </c>
      <c r="I40" s="52" t="s">
        <v>23</v>
      </c>
      <c r="J40" s="52" t="s">
        <v>23</v>
      </c>
      <c r="K40" s="52" t="s">
        <v>23</v>
      </c>
      <c r="L40" s="53">
        <v>1376</v>
      </c>
      <c r="M40" s="52">
        <v>65.7</v>
      </c>
      <c r="N40" s="52" t="s">
        <v>23</v>
      </c>
      <c r="O40" s="52" t="s">
        <v>23</v>
      </c>
      <c r="P40" s="52">
        <v>155</v>
      </c>
    </row>
    <row r="41" spans="1:16" ht="15.6" x14ac:dyDescent="0.3">
      <c r="A41" s="213" t="s">
        <v>51</v>
      </c>
      <c r="B41" s="213"/>
      <c r="C41" s="213"/>
      <c r="D41" s="213"/>
      <c r="E41" s="213"/>
      <c r="F41" s="213"/>
      <c r="G41" s="213"/>
      <c r="H41" s="213"/>
      <c r="I41" s="213"/>
      <c r="J41" s="213"/>
      <c r="K41" s="213"/>
      <c r="L41" s="213"/>
      <c r="M41" s="213"/>
      <c r="N41" s="213"/>
      <c r="O41" s="213"/>
      <c r="P41" s="213"/>
    </row>
    <row r="42" spans="1:16" ht="15" x14ac:dyDescent="0.3">
      <c r="A42" s="24" t="s">
        <v>52</v>
      </c>
      <c r="B42" s="51" t="s">
        <v>23</v>
      </c>
      <c r="C42" s="54">
        <f>MIN(ROUND((C12-C11)/(F74*$B$6),3),100%)</f>
        <v>0.97499999999999998</v>
      </c>
      <c r="D42" s="55">
        <f>ROUND((D12-D11)/(F71*$B$6),3)</f>
        <v>0.83499999999999996</v>
      </c>
      <c r="E42" s="55">
        <f>ROUND((E12-E11)/(F72*$B$6),3)</f>
        <v>0.45700000000000002</v>
      </c>
      <c r="F42" s="55">
        <f>ROUND((F12-F11)/(F68*$B$6),3)</f>
        <v>0.217</v>
      </c>
      <c r="G42" s="51" t="s">
        <v>23</v>
      </c>
      <c r="H42" s="51" t="s">
        <v>23</v>
      </c>
      <c r="I42" s="51" t="s">
        <v>23</v>
      </c>
      <c r="J42" s="55">
        <f>ROUND((J12-J11)/(F50*$B$6),3)</f>
        <v>0.34100000000000003</v>
      </c>
      <c r="K42" s="51" t="s">
        <v>23</v>
      </c>
      <c r="L42" s="55">
        <f>ROUND((L12-L11)/(F53*$B$6),3)</f>
        <v>0.84099999999999997</v>
      </c>
      <c r="M42" s="55">
        <f>ROUND((M12-M11)/(F52*$B$6),3)</f>
        <v>0.28199999999999997</v>
      </c>
      <c r="N42" s="51" t="s">
        <v>23</v>
      </c>
      <c r="O42" s="51" t="s">
        <v>23</v>
      </c>
      <c r="P42" s="55">
        <f>ROUND((P12-P11)/(F55*$B$6),3)</f>
        <v>0.221</v>
      </c>
    </row>
    <row r="43" spans="1:16" ht="15.6" x14ac:dyDescent="0.3">
      <c r="A43" s="56" t="s">
        <v>0</v>
      </c>
      <c r="B43" s="57"/>
      <c r="C43" s="57"/>
      <c r="D43" s="57"/>
      <c r="E43" s="57"/>
      <c r="F43" s="57"/>
      <c r="G43" s="58"/>
      <c r="H43" s="58"/>
      <c r="I43" s="58"/>
      <c r="J43" s="58"/>
      <c r="K43" s="58"/>
      <c r="L43" s="58"/>
      <c r="M43" s="58"/>
      <c r="N43" s="58"/>
    </row>
    <row r="44" spans="1:16" ht="15.6" x14ac:dyDescent="0.3">
      <c r="A44" s="214" t="s">
        <v>53</v>
      </c>
      <c r="B44" s="214"/>
      <c r="C44" s="214"/>
      <c r="D44" s="214"/>
      <c r="E44" s="214"/>
      <c r="F44" s="214"/>
      <c r="G44" s="214"/>
      <c r="H44" s="214"/>
      <c r="I44" s="214"/>
      <c r="J44" s="59" t="s">
        <v>0</v>
      </c>
      <c r="K44" s="60" t="s">
        <v>0</v>
      </c>
      <c r="M44" s="61" t="s">
        <v>0</v>
      </c>
    </row>
    <row r="45" spans="1:16" ht="78" x14ac:dyDescent="0.3">
      <c r="A45" s="62" t="s">
        <v>54</v>
      </c>
      <c r="B45" s="63" t="s">
        <v>22</v>
      </c>
      <c r="C45" s="64" t="s">
        <v>24</v>
      </c>
      <c r="D45" s="64" t="s">
        <v>55</v>
      </c>
      <c r="E45" s="64" t="s">
        <v>173</v>
      </c>
      <c r="F45" s="63" t="s">
        <v>56</v>
      </c>
      <c r="G45" s="63" t="s">
        <v>57</v>
      </c>
      <c r="H45" s="63" t="s">
        <v>58</v>
      </c>
      <c r="I45" s="63" t="s">
        <v>59</v>
      </c>
      <c r="J45" s="39" t="s">
        <v>54</v>
      </c>
      <c r="K45" t="s">
        <v>0</v>
      </c>
      <c r="O45" s="65" t="s">
        <v>0</v>
      </c>
      <c r="P45" s="65" t="s">
        <v>0</v>
      </c>
    </row>
    <row r="46" spans="1:16" ht="15.6" x14ac:dyDescent="0.3">
      <c r="A46" s="66" t="s">
        <v>1</v>
      </c>
      <c r="B46" s="66" t="s">
        <v>23</v>
      </c>
      <c r="C46" s="67" t="s">
        <v>23</v>
      </c>
      <c r="D46" s="68" t="s">
        <v>23</v>
      </c>
      <c r="E46" s="69">
        <f>E47+E48+E49+E50+E52+E53+E54+E55+E56+E57+E58+E60+E61+E62+E63+E64+E65+E66+E67+E68+E70</f>
        <v>148881.40000000002</v>
      </c>
      <c r="F46" s="70">
        <f>F47+F48+F49+F50+F52+F53+F54+F55+F56+F57+F58+F60+F61+F62+F63+F64+F65+F66+F67+F68+F70</f>
        <v>149680</v>
      </c>
      <c r="G46" s="71" t="s">
        <v>23</v>
      </c>
      <c r="H46" s="70">
        <f>H47+H48+H49+H50+H52+H53+H54+H55+H56+H57+H58+H60+H61+H62+H64+H65+H66+H67+H68+H70</f>
        <v>28754.987492917571</v>
      </c>
      <c r="I46" s="36">
        <f>I47+I48+I49+I50+I52+I53+I54+I55+I56+I57+I58+I60+I61+I62+I63+I64+I65+I66+I67+I68+I70</f>
        <v>120925.01250708241</v>
      </c>
      <c r="J46" s="37" t="s">
        <v>1</v>
      </c>
      <c r="K46" t="s">
        <v>0</v>
      </c>
      <c r="L46" s="65" t="s">
        <v>0</v>
      </c>
      <c r="M46" s="65" t="s">
        <v>0</v>
      </c>
      <c r="N46" s="65" t="s">
        <v>0</v>
      </c>
      <c r="P46" s="65" t="s">
        <v>0</v>
      </c>
    </row>
    <row r="47" spans="1:16" ht="15" x14ac:dyDescent="0.3">
      <c r="A47" s="72" t="s">
        <v>60</v>
      </c>
      <c r="B47" s="34">
        <v>1730</v>
      </c>
      <c r="C47" s="34" t="s">
        <v>178</v>
      </c>
      <c r="D47" s="73" t="s">
        <v>61</v>
      </c>
      <c r="E47" s="31">
        <v>2430</v>
      </c>
      <c r="F47" s="74">
        <v>2400</v>
      </c>
      <c r="G47" s="75">
        <f>F47/E47</f>
        <v>0.98765432098765427</v>
      </c>
      <c r="H47" s="76">
        <v>0</v>
      </c>
      <c r="I47" s="77">
        <f>F47-H47</f>
        <v>2400</v>
      </c>
      <c r="J47" s="13" t="s">
        <v>60</v>
      </c>
      <c r="K47" t="s">
        <v>0</v>
      </c>
      <c r="L47" s="65" t="s">
        <v>0</v>
      </c>
      <c r="M47" s="65" t="s">
        <v>0</v>
      </c>
      <c r="N47" s="65" t="s">
        <v>0</v>
      </c>
      <c r="P47" s="65" t="s">
        <v>0</v>
      </c>
    </row>
    <row r="48" spans="1:16" ht="15" x14ac:dyDescent="0.3">
      <c r="A48" s="78" t="s">
        <v>62</v>
      </c>
      <c r="B48" s="34">
        <v>-2770</v>
      </c>
      <c r="C48" s="34" t="s">
        <v>63</v>
      </c>
      <c r="D48" s="79" t="s">
        <v>63</v>
      </c>
      <c r="E48" s="31">
        <v>21304.3</v>
      </c>
      <c r="F48" s="74">
        <v>21544</v>
      </c>
      <c r="G48" s="75">
        <f t="shared" ref="G48:G58" si="14">F48/E48</f>
        <v>1.0112512497477035</v>
      </c>
      <c r="H48" s="76">
        <v>10554.732668991704</v>
      </c>
      <c r="I48" s="77">
        <f>F48-H48</f>
        <v>10989.267331008296</v>
      </c>
      <c r="J48" s="80" t="s">
        <v>62</v>
      </c>
      <c r="K48" t="s">
        <v>0</v>
      </c>
      <c r="L48" s="65" t="s">
        <v>0</v>
      </c>
      <c r="M48" s="65" t="s">
        <v>0</v>
      </c>
      <c r="N48" s="65" t="s">
        <v>0</v>
      </c>
      <c r="P48" s="65" t="s">
        <v>0</v>
      </c>
    </row>
    <row r="49" spans="1:16" ht="15" x14ac:dyDescent="0.3">
      <c r="A49" s="78" t="s">
        <v>64</v>
      </c>
      <c r="B49" s="34">
        <v>570</v>
      </c>
      <c r="C49" s="34" t="s">
        <v>179</v>
      </c>
      <c r="D49" s="73" t="s">
        <v>61</v>
      </c>
      <c r="E49" s="81">
        <v>8440</v>
      </c>
      <c r="F49" s="74">
        <v>8492</v>
      </c>
      <c r="G49" s="82">
        <f t="shared" si="14"/>
        <v>1.0061611374407582</v>
      </c>
      <c r="H49" s="25">
        <v>0</v>
      </c>
      <c r="I49" s="77">
        <f t="shared" ref="I49:I70" si="15">F49-H49</f>
        <v>8492</v>
      </c>
      <c r="J49" s="80" t="s">
        <v>64</v>
      </c>
      <c r="K49" t="s">
        <v>0</v>
      </c>
      <c r="L49" s="65" t="s">
        <v>0</v>
      </c>
      <c r="M49" s="65" t="s">
        <v>0</v>
      </c>
      <c r="N49" s="65" t="s">
        <v>0</v>
      </c>
      <c r="P49" s="65" t="s">
        <v>0</v>
      </c>
    </row>
    <row r="50" spans="1:16" ht="15.6" x14ac:dyDescent="0.3">
      <c r="A50" s="78" t="s">
        <v>15</v>
      </c>
      <c r="B50" s="34">
        <v>4230</v>
      </c>
      <c r="C50" s="83">
        <v>10213</v>
      </c>
      <c r="D50" s="73">
        <f>C50/B50</f>
        <v>2.4144208037825061</v>
      </c>
      <c r="E50" s="84">
        <v>11860</v>
      </c>
      <c r="F50" s="74">
        <v>11927</v>
      </c>
      <c r="G50" s="82">
        <f t="shared" si="14"/>
        <v>1.0056492411467117</v>
      </c>
      <c r="H50" s="25">
        <v>0</v>
      </c>
      <c r="I50" s="77">
        <f t="shared" si="15"/>
        <v>11927</v>
      </c>
      <c r="J50" s="80" t="s">
        <v>15</v>
      </c>
      <c r="K50" t="s">
        <v>0</v>
      </c>
      <c r="L50" s="65" t="s">
        <v>0</v>
      </c>
      <c r="M50" s="65" t="s">
        <v>0</v>
      </c>
      <c r="N50" s="65" t="s">
        <v>0</v>
      </c>
      <c r="P50" s="65" t="s">
        <v>0</v>
      </c>
    </row>
    <row r="51" spans="1:16" ht="15.6" x14ac:dyDescent="0.3">
      <c r="A51" s="78" t="s">
        <v>65</v>
      </c>
      <c r="B51" s="34">
        <v>3550</v>
      </c>
      <c r="C51" s="83">
        <v>4728</v>
      </c>
      <c r="D51" s="73">
        <f>C51/B51</f>
        <v>1.3318309859154929</v>
      </c>
      <c r="E51" s="84" t="s">
        <v>23</v>
      </c>
      <c r="F51" s="74">
        <v>4126.7</v>
      </c>
      <c r="G51" s="82" t="s">
        <v>23</v>
      </c>
      <c r="H51" s="25">
        <v>0</v>
      </c>
      <c r="I51" s="77" t="s">
        <v>23</v>
      </c>
      <c r="J51" s="80" t="s">
        <v>65</v>
      </c>
      <c r="K51" t="s">
        <v>0</v>
      </c>
      <c r="L51" s="65" t="s">
        <v>0</v>
      </c>
      <c r="M51" s="65" t="s">
        <v>0</v>
      </c>
      <c r="N51" s="65" t="s">
        <v>0</v>
      </c>
      <c r="P51" s="65" t="s">
        <v>0</v>
      </c>
    </row>
    <row r="52" spans="1:16" ht="15.6" x14ac:dyDescent="0.3">
      <c r="A52" s="78" t="s">
        <v>18</v>
      </c>
      <c r="B52" s="34">
        <v>4660</v>
      </c>
      <c r="C52" s="85">
        <v>5615</v>
      </c>
      <c r="D52" s="86">
        <f>C52/B52</f>
        <v>1.2049356223175967</v>
      </c>
      <c r="E52" s="31">
        <v>6180</v>
      </c>
      <c r="F52" s="74">
        <v>6204</v>
      </c>
      <c r="G52" s="75">
        <f t="shared" si="14"/>
        <v>1.003883495145631</v>
      </c>
      <c r="H52" s="25">
        <v>0</v>
      </c>
      <c r="I52" s="77">
        <f t="shared" si="15"/>
        <v>6204</v>
      </c>
      <c r="J52" s="13" t="s">
        <v>18</v>
      </c>
      <c r="K52" t="s">
        <v>0</v>
      </c>
      <c r="L52" s="65" t="s">
        <v>0</v>
      </c>
      <c r="M52" s="65" t="s">
        <v>0</v>
      </c>
      <c r="N52" s="65" t="s">
        <v>0</v>
      </c>
      <c r="P52" s="65" t="s">
        <v>0</v>
      </c>
    </row>
    <row r="53" spans="1:16" ht="15.6" x14ac:dyDescent="0.3">
      <c r="A53" s="72" t="s">
        <v>17</v>
      </c>
      <c r="B53" s="34">
        <v>-4060</v>
      </c>
      <c r="C53" s="85">
        <v>5781</v>
      </c>
      <c r="D53" s="86" t="s">
        <v>63</v>
      </c>
      <c r="E53" s="31">
        <v>20290</v>
      </c>
      <c r="F53" s="74">
        <v>19955</v>
      </c>
      <c r="G53" s="75">
        <f t="shared" si="14"/>
        <v>0.98348940364711679</v>
      </c>
      <c r="H53" s="25">
        <v>0</v>
      </c>
      <c r="I53" s="77">
        <f t="shared" si="15"/>
        <v>19955</v>
      </c>
      <c r="J53" s="13" t="s">
        <v>17</v>
      </c>
      <c r="K53" t="s">
        <v>0</v>
      </c>
      <c r="L53" s="65" t="s">
        <v>0</v>
      </c>
      <c r="M53" s="65" t="s">
        <v>0</v>
      </c>
      <c r="N53" s="65" t="s">
        <v>0</v>
      </c>
      <c r="P53" s="65" t="s">
        <v>0</v>
      </c>
    </row>
    <row r="54" spans="1:16" ht="15.6" x14ac:dyDescent="0.3">
      <c r="A54" s="72" t="s">
        <v>20</v>
      </c>
      <c r="B54" s="34">
        <v>2510</v>
      </c>
      <c r="C54" s="87">
        <v>4022</v>
      </c>
      <c r="D54" s="73">
        <f>C54/B54</f>
        <v>1.602390438247012</v>
      </c>
      <c r="E54" s="84">
        <v>3150</v>
      </c>
      <c r="F54" s="74">
        <v>3140</v>
      </c>
      <c r="G54" s="82">
        <f>F54/E54</f>
        <v>0.99682539682539684</v>
      </c>
      <c r="H54" s="25">
        <v>0</v>
      </c>
      <c r="I54" s="77">
        <f t="shared" si="15"/>
        <v>3140</v>
      </c>
      <c r="J54" s="13" t="s">
        <v>20</v>
      </c>
      <c r="K54" t="s">
        <v>0</v>
      </c>
      <c r="L54" s="65" t="s">
        <v>0</v>
      </c>
      <c r="M54" s="65" t="s">
        <v>0</v>
      </c>
      <c r="N54" s="65" t="s">
        <v>0</v>
      </c>
      <c r="P54" s="65" t="s">
        <v>0</v>
      </c>
    </row>
    <row r="55" spans="1:16" ht="15.6" x14ac:dyDescent="0.3">
      <c r="A55" s="72" t="s">
        <v>21</v>
      </c>
      <c r="B55" s="34">
        <v>3270</v>
      </c>
      <c r="C55" s="87">
        <v>5632</v>
      </c>
      <c r="D55" s="73">
        <f>C55/B55</f>
        <v>1.7223241590214067</v>
      </c>
      <c r="E55" s="84">
        <v>4990</v>
      </c>
      <c r="F55" s="74">
        <v>5054</v>
      </c>
      <c r="G55" s="82">
        <f>F55/E55</f>
        <v>1.0128256513026053</v>
      </c>
      <c r="H55" s="76">
        <v>782.81294589178356</v>
      </c>
      <c r="I55" s="77">
        <f>F55-H55</f>
        <v>4271.1870541082162</v>
      </c>
      <c r="J55" s="13" t="s">
        <v>21</v>
      </c>
      <c r="K55" t="s">
        <v>0</v>
      </c>
      <c r="L55" s="186"/>
      <c r="M55" s="65" t="s">
        <v>0</v>
      </c>
      <c r="N55" s="65" t="s">
        <v>0</v>
      </c>
      <c r="P55" s="65" t="s">
        <v>0</v>
      </c>
    </row>
    <row r="56" spans="1:16" ht="15" x14ac:dyDescent="0.3">
      <c r="A56" s="72" t="s">
        <v>66</v>
      </c>
      <c r="B56" s="34">
        <v>1630</v>
      </c>
      <c r="C56" s="34" t="s">
        <v>180</v>
      </c>
      <c r="D56" s="73" t="s">
        <v>61</v>
      </c>
      <c r="E56" s="84">
        <v>2660</v>
      </c>
      <c r="F56" s="74">
        <v>2654</v>
      </c>
      <c r="G56" s="82">
        <f t="shared" si="14"/>
        <v>0.9977443609022556</v>
      </c>
      <c r="H56" s="76">
        <v>0</v>
      </c>
      <c r="I56" s="77">
        <f t="shared" si="15"/>
        <v>2654</v>
      </c>
      <c r="J56" s="13" t="s">
        <v>66</v>
      </c>
      <c r="K56" t="s">
        <v>0</v>
      </c>
      <c r="L56" s="65" t="s">
        <v>0</v>
      </c>
      <c r="M56" s="65" t="s">
        <v>0</v>
      </c>
      <c r="N56" s="65" t="s">
        <v>0</v>
      </c>
      <c r="P56" s="65" t="s">
        <v>0</v>
      </c>
    </row>
    <row r="57" spans="1:16" ht="15" x14ac:dyDescent="0.3">
      <c r="A57" s="72" t="s">
        <v>67</v>
      </c>
      <c r="B57" s="34">
        <v>860</v>
      </c>
      <c r="C57" s="34" t="s">
        <v>181</v>
      </c>
      <c r="D57" s="84" t="s">
        <v>61</v>
      </c>
      <c r="E57" s="84">
        <v>19447.900000000001</v>
      </c>
      <c r="F57" s="74">
        <v>20418</v>
      </c>
      <c r="G57" s="82">
        <f t="shared" si="14"/>
        <v>1.0498819924002076</v>
      </c>
      <c r="H57" s="76">
        <v>17395.179767481321</v>
      </c>
      <c r="I57" s="77">
        <f t="shared" si="15"/>
        <v>3022.8202325186794</v>
      </c>
      <c r="J57" s="13" t="s">
        <v>67</v>
      </c>
      <c r="K57" t="s">
        <v>0</v>
      </c>
      <c r="L57" s="65" t="s">
        <v>0</v>
      </c>
      <c r="M57" s="65" t="s">
        <v>0</v>
      </c>
      <c r="N57" s="65" t="s">
        <v>0</v>
      </c>
      <c r="P57" s="65" t="s">
        <v>0</v>
      </c>
    </row>
    <row r="58" spans="1:16" ht="15" x14ac:dyDescent="0.3">
      <c r="A58" s="72" t="s">
        <v>68</v>
      </c>
      <c r="B58" s="34">
        <v>1010</v>
      </c>
      <c r="C58" s="34" t="s">
        <v>182</v>
      </c>
      <c r="D58" s="73" t="s">
        <v>61</v>
      </c>
      <c r="E58" s="84">
        <v>3760</v>
      </c>
      <c r="F58" s="74">
        <v>3762</v>
      </c>
      <c r="G58" s="82">
        <f t="shared" si="14"/>
        <v>1.0005319148936169</v>
      </c>
      <c r="H58" s="76">
        <v>0</v>
      </c>
      <c r="I58" s="77">
        <f t="shared" si="15"/>
        <v>3762</v>
      </c>
      <c r="J58" s="13" t="s">
        <v>68</v>
      </c>
      <c r="K58" t="s">
        <v>0</v>
      </c>
      <c r="L58" s="65" t="s">
        <v>0</v>
      </c>
      <c r="M58" s="65" t="s">
        <v>0</v>
      </c>
      <c r="N58" s="65" t="s">
        <v>0</v>
      </c>
      <c r="P58" s="65" t="s">
        <v>0</v>
      </c>
    </row>
    <row r="59" spans="1:16" ht="15.6" x14ac:dyDescent="0.3">
      <c r="A59" s="72" t="s">
        <v>13</v>
      </c>
      <c r="B59" s="34">
        <v>1360</v>
      </c>
      <c r="C59" s="87">
        <v>2008</v>
      </c>
      <c r="D59" s="73">
        <f>C59/B59</f>
        <v>1.4764705882352942</v>
      </c>
      <c r="E59" s="84" t="s">
        <v>23</v>
      </c>
      <c r="F59" s="74">
        <v>2347.5</v>
      </c>
      <c r="G59" s="82" t="s">
        <v>23</v>
      </c>
      <c r="H59" s="76">
        <v>0</v>
      </c>
      <c r="I59" s="77">
        <f t="shared" si="15"/>
        <v>2347.5</v>
      </c>
      <c r="J59" s="13" t="s">
        <v>13</v>
      </c>
      <c r="K59" t="s">
        <v>0</v>
      </c>
      <c r="L59" s="65" t="s">
        <v>0</v>
      </c>
      <c r="M59" s="65" t="s">
        <v>0</v>
      </c>
      <c r="N59" s="65" t="s">
        <v>0</v>
      </c>
      <c r="P59" s="65" t="s">
        <v>0</v>
      </c>
    </row>
    <row r="60" spans="1:16" ht="15" x14ac:dyDescent="0.3">
      <c r="A60" s="72" t="s">
        <v>69</v>
      </c>
      <c r="B60" s="34">
        <v>1210</v>
      </c>
      <c r="C60" s="34" t="s">
        <v>183</v>
      </c>
      <c r="D60" s="88" t="s">
        <v>61</v>
      </c>
      <c r="E60" s="84">
        <v>2309.1999999999998</v>
      </c>
      <c r="F60" s="74">
        <f>ROUND(E60*G60,1)</f>
        <v>2380</v>
      </c>
      <c r="G60" s="82">
        <v>1.0306532663316583</v>
      </c>
      <c r="H60" s="76">
        <v>22.262110552763822</v>
      </c>
      <c r="I60" s="77">
        <f t="shared" si="15"/>
        <v>2357.7378894472363</v>
      </c>
      <c r="J60" s="13" t="s">
        <v>69</v>
      </c>
      <c r="K60" t="s">
        <v>0</v>
      </c>
      <c r="L60" s="65" t="s">
        <v>0</v>
      </c>
      <c r="M60" s="65" t="s">
        <v>0</v>
      </c>
      <c r="N60" s="65" t="s">
        <v>0</v>
      </c>
      <c r="P60" s="65" t="s">
        <v>0</v>
      </c>
    </row>
    <row r="61" spans="1:16" ht="15" x14ac:dyDescent="0.3">
      <c r="A61" s="72" t="s">
        <v>70</v>
      </c>
      <c r="B61" s="34">
        <v>3040</v>
      </c>
      <c r="C61" s="34" t="s">
        <v>184</v>
      </c>
      <c r="D61" s="88" t="s">
        <v>61</v>
      </c>
      <c r="E61" s="84">
        <v>5700</v>
      </c>
      <c r="F61" s="74">
        <v>5622</v>
      </c>
      <c r="G61" s="82">
        <f t="shared" ref="G61:G67" si="16">F61/E61</f>
        <v>0.98631578947368426</v>
      </c>
      <c r="H61" s="25">
        <v>0</v>
      </c>
      <c r="I61" s="77">
        <f t="shared" si="15"/>
        <v>5622</v>
      </c>
      <c r="J61" s="13" t="s">
        <v>70</v>
      </c>
      <c r="K61" t="s">
        <v>0</v>
      </c>
      <c r="L61" s="65" t="s">
        <v>0</v>
      </c>
      <c r="M61" s="65" t="s">
        <v>0</v>
      </c>
      <c r="N61" s="65" t="s">
        <v>0</v>
      </c>
      <c r="P61" s="65" t="s">
        <v>0</v>
      </c>
    </row>
    <row r="62" spans="1:16" ht="15" x14ac:dyDescent="0.3">
      <c r="A62" s="72" t="s">
        <v>71</v>
      </c>
      <c r="B62" s="34">
        <v>980</v>
      </c>
      <c r="C62" s="34" t="s">
        <v>130</v>
      </c>
      <c r="D62" s="88" t="s">
        <v>61</v>
      </c>
      <c r="E62" s="84">
        <v>2890</v>
      </c>
      <c r="F62" s="74">
        <v>2850</v>
      </c>
      <c r="G62" s="82">
        <f t="shared" si="16"/>
        <v>0.98615916955017302</v>
      </c>
      <c r="H62" s="25">
        <v>0</v>
      </c>
      <c r="I62" s="77">
        <f t="shared" si="15"/>
        <v>2850</v>
      </c>
      <c r="J62" s="13" t="s">
        <v>71</v>
      </c>
      <c r="K62" t="s">
        <v>0</v>
      </c>
      <c r="L62" s="65" t="s">
        <v>0</v>
      </c>
      <c r="M62" s="65" t="s">
        <v>0</v>
      </c>
      <c r="N62" s="65" t="s">
        <v>0</v>
      </c>
      <c r="P62" s="65" t="s">
        <v>0</v>
      </c>
    </row>
    <row r="63" spans="1:16" ht="15" x14ac:dyDescent="0.3">
      <c r="A63" s="72" t="s">
        <v>72</v>
      </c>
      <c r="B63" s="34" t="s">
        <v>23</v>
      </c>
      <c r="C63" s="34" t="s">
        <v>23</v>
      </c>
      <c r="D63" s="84" t="s">
        <v>23</v>
      </c>
      <c r="E63" s="84">
        <v>70</v>
      </c>
      <c r="F63" s="74">
        <v>70</v>
      </c>
      <c r="G63" s="82">
        <f t="shared" si="16"/>
        <v>1</v>
      </c>
      <c r="H63" s="25">
        <v>0</v>
      </c>
      <c r="I63" s="77">
        <f t="shared" si="15"/>
        <v>70</v>
      </c>
      <c r="J63" s="13" t="s">
        <v>72</v>
      </c>
      <c r="K63" t="s">
        <v>0</v>
      </c>
      <c r="L63" s="65" t="s">
        <v>0</v>
      </c>
      <c r="M63" s="65" t="s">
        <v>0</v>
      </c>
      <c r="N63" s="65" t="s">
        <v>0</v>
      </c>
      <c r="P63" s="65" t="s">
        <v>0</v>
      </c>
    </row>
    <row r="64" spans="1:16" ht="15" x14ac:dyDescent="0.3">
      <c r="A64" s="72" t="s">
        <v>73</v>
      </c>
      <c r="B64" s="34">
        <v>2520</v>
      </c>
      <c r="C64" s="34" t="s">
        <v>185</v>
      </c>
      <c r="D64" s="88" t="s">
        <v>61</v>
      </c>
      <c r="E64" s="84">
        <v>8140</v>
      </c>
      <c r="F64" s="74">
        <v>8110</v>
      </c>
      <c r="G64" s="82">
        <f t="shared" si="16"/>
        <v>0.99631449631449631</v>
      </c>
      <c r="H64" s="25">
        <v>0</v>
      </c>
      <c r="I64" s="77">
        <f t="shared" si="15"/>
        <v>8110</v>
      </c>
      <c r="J64" s="13" t="s">
        <v>73</v>
      </c>
      <c r="K64" t="s">
        <v>0</v>
      </c>
      <c r="L64" s="65" t="s">
        <v>0</v>
      </c>
      <c r="M64" s="65" t="s">
        <v>0</v>
      </c>
      <c r="N64" s="65" t="s">
        <v>0</v>
      </c>
      <c r="P64" s="65" t="s">
        <v>0</v>
      </c>
    </row>
    <row r="65" spans="1:16" ht="15" x14ac:dyDescent="0.3">
      <c r="A65" s="72" t="s">
        <v>74</v>
      </c>
      <c r="B65" s="34">
        <v>-450</v>
      </c>
      <c r="C65" s="34" t="s">
        <v>63</v>
      </c>
      <c r="D65" s="84" t="s">
        <v>63</v>
      </c>
      <c r="E65" s="84">
        <v>2780</v>
      </c>
      <c r="F65" s="74">
        <v>2708</v>
      </c>
      <c r="G65" s="82">
        <f t="shared" si="16"/>
        <v>0.97410071942446042</v>
      </c>
      <c r="H65" s="25">
        <v>0</v>
      </c>
      <c r="I65" s="77">
        <f t="shared" si="15"/>
        <v>2708</v>
      </c>
      <c r="J65" s="13" t="s">
        <v>74</v>
      </c>
      <c r="K65" t="s">
        <v>0</v>
      </c>
      <c r="L65" s="65" t="s">
        <v>0</v>
      </c>
      <c r="M65" s="65" t="s">
        <v>0</v>
      </c>
      <c r="N65" s="65" t="s">
        <v>0</v>
      </c>
      <c r="P65" s="65" t="s">
        <v>0</v>
      </c>
    </row>
    <row r="66" spans="1:16" ht="15.6" x14ac:dyDescent="0.3">
      <c r="A66" s="72" t="s">
        <v>14</v>
      </c>
      <c r="B66" s="34">
        <v>3940</v>
      </c>
      <c r="C66" s="83">
        <v>7160</v>
      </c>
      <c r="D66" s="73">
        <f>C66/B66</f>
        <v>1.8172588832487309</v>
      </c>
      <c r="E66" s="84">
        <v>5750</v>
      </c>
      <c r="F66" s="74">
        <v>5726</v>
      </c>
      <c r="G66" s="82">
        <f t="shared" si="16"/>
        <v>0.99582608695652175</v>
      </c>
      <c r="H66" s="25">
        <v>0</v>
      </c>
      <c r="I66" s="77">
        <f t="shared" si="15"/>
        <v>5726</v>
      </c>
      <c r="J66" s="13" t="s">
        <v>14</v>
      </c>
      <c r="K66" t="s">
        <v>0</v>
      </c>
      <c r="L66" s="65" t="s">
        <v>0</v>
      </c>
      <c r="M66" s="65" t="s">
        <v>0</v>
      </c>
      <c r="N66" s="65" t="s">
        <v>0</v>
      </c>
      <c r="P66" s="65" t="s">
        <v>0</v>
      </c>
    </row>
    <row r="67" spans="1:16" ht="15.6" x14ac:dyDescent="0.3">
      <c r="A67" s="72" t="s">
        <v>75</v>
      </c>
      <c r="B67" s="34">
        <v>0</v>
      </c>
      <c r="C67" s="87">
        <v>4916</v>
      </c>
      <c r="D67" s="73" t="s">
        <v>63</v>
      </c>
      <c r="E67" s="84">
        <f>6890+190</f>
        <v>7080</v>
      </c>
      <c r="F67" s="74">
        <f>6829+186</f>
        <v>7015</v>
      </c>
      <c r="G67" s="82">
        <f t="shared" si="16"/>
        <v>0.99081920903954801</v>
      </c>
      <c r="H67" s="25">
        <v>0</v>
      </c>
      <c r="I67" s="77">
        <f t="shared" si="15"/>
        <v>7015</v>
      </c>
      <c r="J67" s="13" t="s">
        <v>75</v>
      </c>
      <c r="K67" t="s">
        <v>0</v>
      </c>
      <c r="L67" s="65" t="s">
        <v>0</v>
      </c>
      <c r="M67" s="65" t="s">
        <v>0</v>
      </c>
      <c r="N67" s="65" t="s">
        <v>0</v>
      </c>
      <c r="P67" s="65" t="s">
        <v>0</v>
      </c>
    </row>
    <row r="68" spans="1:16" ht="15.6" x14ac:dyDescent="0.3">
      <c r="A68" s="72" t="s">
        <v>11</v>
      </c>
      <c r="B68" s="34">
        <v>5450</v>
      </c>
      <c r="C68" s="83">
        <v>9022</v>
      </c>
      <c r="D68" s="88">
        <f>C68/B68</f>
        <v>1.6554128440366973</v>
      </c>
      <c r="E68" s="84">
        <v>9270</v>
      </c>
      <c r="F68" s="74">
        <v>9273</v>
      </c>
      <c r="G68" s="82">
        <f>F68/E68</f>
        <v>1.0003236245954692</v>
      </c>
      <c r="H68" s="25">
        <v>0</v>
      </c>
      <c r="I68" s="77">
        <f t="shared" si="15"/>
        <v>9273</v>
      </c>
      <c r="J68" s="13" t="s">
        <v>11</v>
      </c>
      <c r="K68" t="s">
        <v>0</v>
      </c>
      <c r="L68" s="65" t="s">
        <v>0</v>
      </c>
      <c r="M68" s="65" t="s">
        <v>0</v>
      </c>
      <c r="N68" s="65" t="s">
        <v>0</v>
      </c>
      <c r="P68" s="65" t="s">
        <v>0</v>
      </c>
    </row>
    <row r="69" spans="1:16" ht="15.6" x14ac:dyDescent="0.3">
      <c r="A69" s="72" t="s">
        <v>12</v>
      </c>
      <c r="B69" s="34">
        <v>2420</v>
      </c>
      <c r="C69" s="83">
        <v>4349</v>
      </c>
      <c r="D69" s="88">
        <f>C69/B69</f>
        <v>1.7971074380165288</v>
      </c>
      <c r="E69" s="84" t="s">
        <v>23</v>
      </c>
      <c r="F69" s="74">
        <v>4822</v>
      </c>
      <c r="G69" s="82" t="s">
        <v>23</v>
      </c>
      <c r="H69" s="25">
        <v>0</v>
      </c>
      <c r="I69" s="77">
        <f t="shared" si="15"/>
        <v>4822</v>
      </c>
      <c r="J69" s="13" t="s">
        <v>12</v>
      </c>
      <c r="K69" t="s">
        <v>0</v>
      </c>
      <c r="L69" s="65" t="s">
        <v>0</v>
      </c>
      <c r="M69" s="65" t="s">
        <v>0</v>
      </c>
      <c r="N69" s="65" t="s">
        <v>0</v>
      </c>
      <c r="P69" s="65" t="s">
        <v>0</v>
      </c>
    </row>
    <row r="70" spans="1:16" ht="15" x14ac:dyDescent="0.3">
      <c r="A70" s="72" t="s">
        <v>76</v>
      </c>
      <c r="B70" s="34" t="s">
        <v>23</v>
      </c>
      <c r="C70" s="34" t="s">
        <v>23</v>
      </c>
      <c r="D70" s="84" t="s">
        <v>23</v>
      </c>
      <c r="E70" s="84">
        <v>380</v>
      </c>
      <c r="F70" s="74">
        <v>376</v>
      </c>
      <c r="G70" s="82">
        <f>F70/E70</f>
        <v>0.98947368421052628</v>
      </c>
      <c r="H70" s="25">
        <v>0</v>
      </c>
      <c r="I70" s="77">
        <f t="shared" si="15"/>
        <v>376</v>
      </c>
      <c r="J70" s="13" t="s">
        <v>76</v>
      </c>
      <c r="K70" t="s">
        <v>77</v>
      </c>
      <c r="L70" s="65" t="s">
        <v>0</v>
      </c>
      <c r="M70" s="65" t="s">
        <v>0</v>
      </c>
      <c r="N70" s="65" t="s">
        <v>0</v>
      </c>
      <c r="P70" s="65" t="s">
        <v>0</v>
      </c>
    </row>
    <row r="71" spans="1:16" ht="15.6" x14ac:dyDescent="0.3">
      <c r="A71" s="72" t="s">
        <v>9</v>
      </c>
      <c r="B71" s="34">
        <v>3210</v>
      </c>
      <c r="C71" s="83">
        <v>8704</v>
      </c>
      <c r="D71" s="88">
        <f>C71/B71</f>
        <v>2.7115264797507788</v>
      </c>
      <c r="E71" s="84" t="s">
        <v>23</v>
      </c>
      <c r="F71" s="77">
        <f>F47+F58+F61+F64+F68+F70</f>
        <v>29543</v>
      </c>
      <c r="G71" s="89" t="s">
        <v>23</v>
      </c>
      <c r="H71" s="77">
        <f>H47+H58+H61+H64+H68+H70</f>
        <v>0</v>
      </c>
      <c r="I71" s="215" t="s">
        <v>0</v>
      </c>
      <c r="J71" s="13" t="s">
        <v>9</v>
      </c>
      <c r="K71" t="s">
        <v>0</v>
      </c>
      <c r="L71" s="65" t="s">
        <v>0</v>
      </c>
      <c r="M71" s="65" t="s">
        <v>0</v>
      </c>
      <c r="N71" s="65" t="s">
        <v>0</v>
      </c>
      <c r="P71" s="65" t="s">
        <v>0</v>
      </c>
    </row>
    <row r="72" spans="1:16" ht="15.6" x14ac:dyDescent="0.3">
      <c r="A72" s="78" t="s">
        <v>10</v>
      </c>
      <c r="B72" s="34">
        <v>5790</v>
      </c>
      <c r="C72" s="85">
        <v>8389</v>
      </c>
      <c r="D72" s="90">
        <f>C72/B72</f>
        <v>1.4488773747841106</v>
      </c>
      <c r="E72" s="31" t="s">
        <v>23</v>
      </c>
      <c r="F72" s="31">
        <f>F52+F66</f>
        <v>11930</v>
      </c>
      <c r="G72" s="89" t="s">
        <v>23</v>
      </c>
      <c r="H72" s="77">
        <f>H52+H66</f>
        <v>0</v>
      </c>
      <c r="I72" s="216"/>
      <c r="J72" s="13" t="s">
        <v>10</v>
      </c>
      <c r="K72" t="s">
        <v>0</v>
      </c>
      <c r="L72" s="65" t="s">
        <v>0</v>
      </c>
      <c r="M72" s="65" t="s">
        <v>0</v>
      </c>
      <c r="N72" s="65" t="s">
        <v>0</v>
      </c>
      <c r="P72" s="65" t="s">
        <v>0</v>
      </c>
    </row>
    <row r="73" spans="1:16" ht="15.6" x14ac:dyDescent="0.3">
      <c r="A73" s="78" t="s">
        <v>78</v>
      </c>
      <c r="B73" s="34">
        <v>-10170</v>
      </c>
      <c r="C73" s="28" t="s">
        <v>63</v>
      </c>
      <c r="D73" s="31" t="s">
        <v>63</v>
      </c>
      <c r="E73" s="31" t="s">
        <v>23</v>
      </c>
      <c r="F73" s="30">
        <f>F62+F65+F67</f>
        <v>12573</v>
      </c>
      <c r="G73" s="89" t="s">
        <v>23</v>
      </c>
      <c r="H73" s="77">
        <f>H62+H65+H67</f>
        <v>0</v>
      </c>
      <c r="I73" s="216"/>
      <c r="J73" s="80" t="s">
        <v>78</v>
      </c>
      <c r="K73" t="s">
        <v>0</v>
      </c>
      <c r="L73" s="65" t="s">
        <v>0</v>
      </c>
      <c r="M73" s="65" t="s">
        <v>0</v>
      </c>
      <c r="N73" s="65" t="s">
        <v>0</v>
      </c>
      <c r="P73" s="91"/>
    </row>
    <row r="74" spans="1:16" ht="15.6" x14ac:dyDescent="0.3">
      <c r="A74" s="78" t="s">
        <v>8</v>
      </c>
      <c r="B74" s="34">
        <v>-4660</v>
      </c>
      <c r="C74" s="85">
        <v>6381</v>
      </c>
      <c r="D74" s="90" t="s">
        <v>63</v>
      </c>
      <c r="E74" s="31" t="s">
        <v>23</v>
      </c>
      <c r="F74" s="31">
        <f>F71+F72+F73</f>
        <v>54046</v>
      </c>
      <c r="G74" s="89" t="s">
        <v>23</v>
      </c>
      <c r="H74" s="77">
        <f>H71+H72+H73</f>
        <v>0</v>
      </c>
      <c r="I74" s="216"/>
      <c r="J74" s="13" t="s">
        <v>8</v>
      </c>
      <c r="K74" t="s">
        <v>0</v>
      </c>
      <c r="O74" s="91"/>
      <c r="P74" s="91"/>
    </row>
    <row r="75" spans="1:16" ht="15.6" x14ac:dyDescent="0.3">
      <c r="A75" s="78" t="s">
        <v>79</v>
      </c>
      <c r="B75" s="34">
        <v>-8560</v>
      </c>
      <c r="C75" s="34" t="s">
        <v>63</v>
      </c>
      <c r="D75" s="84" t="s">
        <v>63</v>
      </c>
      <c r="E75" s="77" t="s">
        <v>23</v>
      </c>
      <c r="F75" s="77">
        <f>F48+F49+F50+F53+F54+F55+F56+F60+F63</f>
        <v>75216</v>
      </c>
      <c r="G75" s="89" t="s">
        <v>23</v>
      </c>
      <c r="H75" s="77">
        <f>H48+H49+H50+H53+H54+H55+H56+H60</f>
        <v>11359.807725436251</v>
      </c>
      <c r="I75" s="217"/>
      <c r="J75" s="80" t="s">
        <v>79</v>
      </c>
      <c r="K75" t="s">
        <v>0</v>
      </c>
      <c r="O75" s="91"/>
      <c r="P75" s="91"/>
    </row>
    <row r="76" spans="1:16" ht="15.6" x14ac:dyDescent="0.3">
      <c r="A76" s="205" t="s">
        <v>80</v>
      </c>
      <c r="B76" s="206"/>
      <c r="C76" s="206"/>
      <c r="D76" s="206"/>
      <c r="E76" s="206"/>
      <c r="F76" s="206"/>
      <c r="G76" s="206"/>
      <c r="H76" s="206"/>
      <c r="I76" s="206"/>
      <c r="J76" s="206"/>
      <c r="K76" t="s">
        <v>0</v>
      </c>
      <c r="O76" s="91"/>
      <c r="P76" s="91"/>
    </row>
    <row r="77" spans="1:16" ht="15.6" x14ac:dyDescent="0.3">
      <c r="A77" s="218" t="s">
        <v>0</v>
      </c>
      <c r="B77" s="219"/>
      <c r="C77" s="219"/>
      <c r="D77" s="219"/>
      <c r="E77" s="219"/>
      <c r="F77" s="219"/>
      <c r="G77" s="219"/>
      <c r="H77" s="219"/>
      <c r="I77" s="219"/>
      <c r="J77" s="219"/>
      <c r="K77" t="s">
        <v>0</v>
      </c>
      <c r="O77" s="91"/>
      <c r="P77" s="91"/>
    </row>
    <row r="78" spans="1:16" ht="15.6" x14ac:dyDescent="0.3">
      <c r="A78" s="214" t="s">
        <v>81</v>
      </c>
      <c r="B78" s="214"/>
      <c r="C78" s="214"/>
      <c r="D78" s="214"/>
      <c r="E78" s="214"/>
      <c r="F78" s="214"/>
      <c r="G78" s="214"/>
      <c r="H78" s="214"/>
      <c r="I78" s="214"/>
      <c r="J78" s="214"/>
      <c r="K78" t="s">
        <v>0</v>
      </c>
    </row>
    <row r="79" spans="1:16" ht="15.6" x14ac:dyDescent="0.3">
      <c r="A79" s="62" t="s">
        <v>82</v>
      </c>
      <c r="B79" s="199" t="s">
        <v>83</v>
      </c>
      <c r="C79" s="201"/>
      <c r="D79" s="199" t="s">
        <v>84</v>
      </c>
      <c r="E79" s="200"/>
      <c r="F79" s="200"/>
      <c r="G79" s="200"/>
      <c r="H79" s="200"/>
      <c r="I79" s="200"/>
      <c r="J79" s="201"/>
      <c r="K79" t="s">
        <v>0</v>
      </c>
    </row>
    <row r="80" spans="1:16" ht="34.5" customHeight="1" x14ac:dyDescent="0.3">
      <c r="A80" s="72" t="s">
        <v>8</v>
      </c>
      <c r="B80" s="187" t="s">
        <v>85</v>
      </c>
      <c r="C80" s="188"/>
      <c r="D80" s="189" t="s">
        <v>127</v>
      </c>
      <c r="E80" s="190"/>
      <c r="F80" s="190"/>
      <c r="G80" s="190"/>
      <c r="H80" s="190"/>
      <c r="I80" s="190"/>
      <c r="J80" s="191"/>
      <c r="K80" t="s">
        <v>0</v>
      </c>
    </row>
    <row r="81" spans="1:11" ht="46.5" customHeight="1" x14ac:dyDescent="0.3">
      <c r="A81" s="72" t="s">
        <v>9</v>
      </c>
      <c r="B81" s="187" t="s">
        <v>87</v>
      </c>
      <c r="C81" s="188"/>
      <c r="D81" s="189" t="s">
        <v>174</v>
      </c>
      <c r="E81" s="197"/>
      <c r="F81" s="197"/>
      <c r="G81" s="197"/>
      <c r="H81" s="197"/>
      <c r="I81" s="197"/>
      <c r="J81" s="188"/>
      <c r="K81" t="s">
        <v>0</v>
      </c>
    </row>
    <row r="82" spans="1:11" ht="36.75" customHeight="1" x14ac:dyDescent="0.3">
      <c r="A82" s="72" t="s">
        <v>10</v>
      </c>
      <c r="B82" s="187" t="s">
        <v>86</v>
      </c>
      <c r="C82" s="188"/>
      <c r="D82" s="189" t="s">
        <v>177</v>
      </c>
      <c r="E82" s="190"/>
      <c r="F82" s="190"/>
      <c r="G82" s="190"/>
      <c r="H82" s="190"/>
      <c r="I82" s="190"/>
      <c r="J82" s="191"/>
      <c r="K82" t="s">
        <v>0</v>
      </c>
    </row>
    <row r="83" spans="1:11" ht="64.5" customHeight="1" x14ac:dyDescent="0.3">
      <c r="A83" s="72" t="s">
        <v>11</v>
      </c>
      <c r="B83" s="187" t="s">
        <v>87</v>
      </c>
      <c r="C83" s="188"/>
      <c r="D83" s="189" t="s">
        <v>176</v>
      </c>
      <c r="E83" s="190"/>
      <c r="F83" s="190"/>
      <c r="G83" s="190"/>
      <c r="H83" s="190"/>
      <c r="I83" s="190"/>
      <c r="J83" s="191"/>
      <c r="K83" t="s">
        <v>0</v>
      </c>
    </row>
    <row r="84" spans="1:11" ht="36" customHeight="1" x14ac:dyDescent="0.3">
      <c r="A84" s="72" t="s">
        <v>88</v>
      </c>
      <c r="B84" s="187" t="s">
        <v>87</v>
      </c>
      <c r="C84" s="188"/>
      <c r="D84" s="198" t="s">
        <v>129</v>
      </c>
      <c r="E84" s="190"/>
      <c r="F84" s="190"/>
      <c r="G84" s="190"/>
      <c r="H84" s="190"/>
      <c r="I84" s="190"/>
      <c r="J84" s="191"/>
      <c r="K84" t="s">
        <v>0</v>
      </c>
    </row>
    <row r="85" spans="1:11" ht="50.4" customHeight="1" x14ac:dyDescent="0.3">
      <c r="A85" s="72" t="s">
        <v>89</v>
      </c>
      <c r="B85" s="187" t="s">
        <v>87</v>
      </c>
      <c r="C85" s="188"/>
      <c r="D85" s="189" t="s">
        <v>125</v>
      </c>
      <c r="E85" s="190"/>
      <c r="F85" s="190"/>
      <c r="G85" s="190"/>
      <c r="H85" s="190"/>
      <c r="I85" s="190"/>
      <c r="J85" s="191"/>
      <c r="K85" t="s">
        <v>0</v>
      </c>
    </row>
    <row r="86" spans="1:11" ht="33" customHeight="1" x14ac:dyDescent="0.3">
      <c r="A86" s="72" t="s">
        <v>14</v>
      </c>
      <c r="B86" s="187" t="s">
        <v>87</v>
      </c>
      <c r="C86" s="188"/>
      <c r="D86" s="189" t="s">
        <v>128</v>
      </c>
      <c r="E86" s="190"/>
      <c r="F86" s="190"/>
      <c r="G86" s="190"/>
      <c r="H86" s="190"/>
      <c r="I86" s="190"/>
      <c r="J86" s="191"/>
      <c r="K86" t="s">
        <v>0</v>
      </c>
    </row>
    <row r="87" spans="1:11" ht="49.5" customHeight="1" x14ac:dyDescent="0.3">
      <c r="A87" s="78" t="s">
        <v>15</v>
      </c>
      <c r="B87" s="187" t="s">
        <v>87</v>
      </c>
      <c r="C87" s="188"/>
      <c r="D87" s="189" t="s">
        <v>186</v>
      </c>
      <c r="E87" s="197"/>
      <c r="F87" s="197"/>
      <c r="G87" s="197"/>
      <c r="H87" s="197"/>
      <c r="I87" s="197"/>
      <c r="J87" s="188"/>
      <c r="K87" t="s">
        <v>0</v>
      </c>
    </row>
    <row r="88" spans="1:11" ht="49.5" customHeight="1" x14ac:dyDescent="0.3">
      <c r="A88" s="78" t="s">
        <v>65</v>
      </c>
      <c r="B88" s="187" t="s">
        <v>87</v>
      </c>
      <c r="C88" s="188"/>
      <c r="D88" s="189" t="s">
        <v>187</v>
      </c>
      <c r="E88" s="197"/>
      <c r="F88" s="197"/>
      <c r="G88" s="197"/>
      <c r="H88" s="197"/>
      <c r="I88" s="197"/>
      <c r="J88" s="188"/>
      <c r="K88" t="s">
        <v>0</v>
      </c>
    </row>
    <row r="89" spans="1:11" ht="91.2" customHeight="1" x14ac:dyDescent="0.3">
      <c r="A89" s="78" t="s">
        <v>17</v>
      </c>
      <c r="B89" s="187" t="s">
        <v>87</v>
      </c>
      <c r="C89" s="188"/>
      <c r="D89" s="189" t="s">
        <v>188</v>
      </c>
      <c r="E89" s="197"/>
      <c r="F89" s="197"/>
      <c r="G89" s="197"/>
      <c r="H89" s="197"/>
      <c r="I89" s="197"/>
      <c r="J89" s="188"/>
      <c r="K89" t="s">
        <v>0</v>
      </c>
    </row>
    <row r="90" spans="1:11" ht="15" x14ac:dyDescent="0.3">
      <c r="A90" s="78" t="s">
        <v>18</v>
      </c>
      <c r="B90" s="187" t="s">
        <v>86</v>
      </c>
      <c r="C90" s="188"/>
      <c r="D90" s="187" t="s">
        <v>189</v>
      </c>
      <c r="E90" s="197"/>
      <c r="F90" s="197"/>
      <c r="G90" s="197"/>
      <c r="H90" s="197"/>
      <c r="I90" s="197"/>
      <c r="J90" s="188"/>
      <c r="K90" t="s">
        <v>0</v>
      </c>
    </row>
    <row r="91" spans="1:11" ht="34.5" customHeight="1" x14ac:dyDescent="0.3">
      <c r="A91" s="78" t="s">
        <v>19</v>
      </c>
      <c r="B91" s="187" t="s">
        <v>87</v>
      </c>
      <c r="C91" s="188"/>
      <c r="D91" s="189" t="s">
        <v>175</v>
      </c>
      <c r="E91" s="190"/>
      <c r="F91" s="190"/>
      <c r="G91" s="190"/>
      <c r="H91" s="190"/>
      <c r="I91" s="190"/>
      <c r="J91" s="191"/>
      <c r="K91" t="s">
        <v>0</v>
      </c>
    </row>
    <row r="92" spans="1:11" ht="36" customHeight="1" x14ac:dyDescent="0.3">
      <c r="A92" s="78" t="s">
        <v>20</v>
      </c>
      <c r="B92" s="187" t="s">
        <v>87</v>
      </c>
      <c r="C92" s="188"/>
      <c r="D92" s="189" t="s">
        <v>190</v>
      </c>
      <c r="E92" s="190"/>
      <c r="F92" s="190"/>
      <c r="G92" s="190"/>
      <c r="H92" s="190"/>
      <c r="I92" s="190"/>
      <c r="J92" s="191"/>
      <c r="K92" t="s">
        <v>0</v>
      </c>
    </row>
    <row r="93" spans="1:11" ht="34.950000000000003" customHeight="1" x14ac:dyDescent="0.3">
      <c r="A93" s="78" t="s">
        <v>21</v>
      </c>
      <c r="B93" s="187" t="s">
        <v>87</v>
      </c>
      <c r="C93" s="188"/>
      <c r="D93" s="189" t="s">
        <v>126</v>
      </c>
      <c r="E93" s="190"/>
      <c r="F93" s="190"/>
      <c r="G93" s="190"/>
      <c r="H93" s="190"/>
      <c r="I93" s="190"/>
      <c r="J93" s="191"/>
      <c r="K93" t="s">
        <v>0</v>
      </c>
    </row>
    <row r="94" spans="1:11" ht="15" x14ac:dyDescent="0.3">
      <c r="A94" s="196" t="s">
        <v>169</v>
      </c>
      <c r="B94" s="196"/>
      <c r="C94" s="196"/>
      <c r="D94" s="196"/>
      <c r="E94" s="196"/>
      <c r="F94" s="196"/>
      <c r="G94" s="196"/>
      <c r="H94" s="196"/>
      <c r="I94" s="196"/>
      <c r="K94" t="s">
        <v>0</v>
      </c>
    </row>
    <row r="95" spans="1:11" ht="86.25" customHeight="1" x14ac:dyDescent="0.3">
      <c r="A95" s="195" t="s">
        <v>170</v>
      </c>
      <c r="B95" s="195"/>
      <c r="C95" s="195"/>
      <c r="D95" s="195"/>
      <c r="E95" s="195"/>
      <c r="F95" s="195"/>
      <c r="G95" s="195"/>
      <c r="H95" s="195"/>
      <c r="I95" s="195"/>
    </row>
    <row r="96" spans="1:11" ht="38.25" customHeight="1" x14ac:dyDescent="0.3">
      <c r="A96" s="192" t="s">
        <v>171</v>
      </c>
      <c r="B96" s="193"/>
      <c r="C96" s="193"/>
      <c r="D96" s="193"/>
      <c r="E96" s="193"/>
      <c r="F96" s="193"/>
      <c r="G96" s="193"/>
      <c r="H96" s="193"/>
      <c r="I96" s="194"/>
    </row>
    <row r="97" spans="1:9" ht="35.4" customHeight="1" x14ac:dyDescent="0.3">
      <c r="A97" s="192" t="s">
        <v>193</v>
      </c>
      <c r="B97" s="193"/>
      <c r="C97" s="193"/>
      <c r="D97" s="193"/>
      <c r="E97" s="193"/>
      <c r="F97" s="193"/>
      <c r="G97" s="193"/>
      <c r="H97" s="193"/>
      <c r="I97" s="194"/>
    </row>
    <row r="98" spans="1:9" ht="33.6" customHeight="1" x14ac:dyDescent="0.3">
      <c r="A98" s="202" t="s">
        <v>195</v>
      </c>
      <c r="B98" s="203"/>
      <c r="C98" s="203"/>
      <c r="D98" s="203"/>
      <c r="E98" s="203"/>
      <c r="F98" s="203"/>
      <c r="G98" s="203"/>
      <c r="H98" s="203"/>
      <c r="I98" s="204"/>
    </row>
  </sheetData>
  <mergeCells count="49">
    <mergeCell ref="A98:I98"/>
    <mergeCell ref="A76:J76"/>
    <mergeCell ref="C3:P3"/>
    <mergeCell ref="C4:P4"/>
    <mergeCell ref="C5:P5"/>
    <mergeCell ref="C6:P6"/>
    <mergeCell ref="C7:P7"/>
    <mergeCell ref="C8:P8"/>
    <mergeCell ref="A19:P19"/>
    <mergeCell ref="A27:P27"/>
    <mergeCell ref="A41:P41"/>
    <mergeCell ref="A44:I44"/>
    <mergeCell ref="I71:I75"/>
    <mergeCell ref="A77:J77"/>
    <mergeCell ref="A78:J78"/>
    <mergeCell ref="B79:C79"/>
    <mergeCell ref="D79:J79"/>
    <mergeCell ref="B80:C80"/>
    <mergeCell ref="D80:J80"/>
    <mergeCell ref="B81:C81"/>
    <mergeCell ref="D81:J81"/>
    <mergeCell ref="B82:C82"/>
    <mergeCell ref="D82:J82"/>
    <mergeCell ref="B83:C83"/>
    <mergeCell ref="D83:J83"/>
    <mergeCell ref="B84:C84"/>
    <mergeCell ref="D84:J84"/>
    <mergeCell ref="B85:C85"/>
    <mergeCell ref="D85:J85"/>
    <mergeCell ref="B86:C86"/>
    <mergeCell ref="D86:J86"/>
    <mergeCell ref="B87:C87"/>
    <mergeCell ref="D87:J87"/>
    <mergeCell ref="B88:C88"/>
    <mergeCell ref="D88:J88"/>
    <mergeCell ref="B89:C89"/>
    <mergeCell ref="D89:J89"/>
    <mergeCell ref="B90:C90"/>
    <mergeCell ref="D90:J90"/>
    <mergeCell ref="B91:C91"/>
    <mergeCell ref="D91:J91"/>
    <mergeCell ref="B92:C92"/>
    <mergeCell ref="D92:J92"/>
    <mergeCell ref="A97:I97"/>
    <mergeCell ref="A96:I96"/>
    <mergeCell ref="A95:I95"/>
    <mergeCell ref="B93:C93"/>
    <mergeCell ref="D93:J93"/>
    <mergeCell ref="A94:I9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zoomScale="90" zoomScaleNormal="90" workbookViewId="0">
      <selection activeCell="J15" sqref="J15"/>
    </sheetView>
  </sheetViews>
  <sheetFormatPr defaultRowHeight="14.4" x14ac:dyDescent="0.3"/>
  <cols>
    <col min="1" max="4" width="21.6640625" customWidth="1"/>
    <col min="5" max="10" width="18.6640625" customWidth="1"/>
    <col min="11" max="11" width="27.109375" customWidth="1"/>
  </cols>
  <sheetData>
    <row r="1" spans="1:13" ht="17.399999999999999" x14ac:dyDescent="0.3">
      <c r="A1" s="92" t="s">
        <v>124</v>
      </c>
      <c r="B1" s="92"/>
      <c r="C1" s="92"/>
      <c r="D1" s="92"/>
      <c r="E1" s="92"/>
      <c r="F1" s="92"/>
      <c r="G1" s="92"/>
      <c r="H1" s="92"/>
      <c r="I1" s="92"/>
      <c r="J1" s="92"/>
      <c r="K1" s="92"/>
    </row>
    <row r="2" spans="1:13" ht="15.6" x14ac:dyDescent="0.3">
      <c r="A2" s="208" t="s">
        <v>90</v>
      </c>
      <c r="B2" s="208"/>
      <c r="C2" s="208"/>
      <c r="D2" s="208"/>
      <c r="E2" s="208"/>
      <c r="F2" s="208"/>
      <c r="G2" s="208"/>
      <c r="H2" s="208"/>
      <c r="I2" s="93"/>
      <c r="J2" s="60" t="s">
        <v>0</v>
      </c>
      <c r="K2" s="60" t="s">
        <v>0</v>
      </c>
    </row>
    <row r="3" spans="1:13" ht="15.6" x14ac:dyDescent="0.3">
      <c r="A3" s="208" t="s">
        <v>91</v>
      </c>
      <c r="B3" s="208"/>
      <c r="C3" s="208"/>
      <c r="D3" s="208"/>
      <c r="E3" s="208"/>
      <c r="F3" s="208"/>
      <c r="G3" s="208"/>
      <c r="H3" s="208"/>
      <c r="I3" s="185" t="s">
        <v>0</v>
      </c>
      <c r="J3" s="60" t="s">
        <v>0</v>
      </c>
      <c r="K3" s="60" t="s">
        <v>0</v>
      </c>
      <c r="L3" s="60" t="s">
        <v>0</v>
      </c>
      <c r="M3" s="60" t="s">
        <v>0</v>
      </c>
    </row>
    <row r="4" spans="1:13" ht="15.6" x14ac:dyDescent="0.3">
      <c r="A4" s="208" t="s">
        <v>123</v>
      </c>
      <c r="B4" s="208"/>
      <c r="C4" s="208"/>
      <c r="D4" s="208"/>
      <c r="E4" s="208"/>
      <c r="F4" s="208"/>
      <c r="G4" s="208"/>
      <c r="H4" s="95">
        <f>'Planning Parameters'!B5</f>
        <v>5.04E-2</v>
      </c>
      <c r="I4" s="94"/>
      <c r="J4" s="60" t="s">
        <v>0</v>
      </c>
      <c r="K4" s="60" t="s">
        <v>0</v>
      </c>
      <c r="L4" s="60" t="s">
        <v>0</v>
      </c>
      <c r="M4" s="60" t="s">
        <v>0</v>
      </c>
    </row>
    <row r="5" spans="1:13" ht="15" x14ac:dyDescent="0.3">
      <c r="A5" s="196" t="s">
        <v>92</v>
      </c>
      <c r="B5" s="196"/>
      <c r="C5" s="196"/>
      <c r="D5" s="196"/>
      <c r="E5" s="196"/>
      <c r="F5" s="196"/>
      <c r="G5" s="196"/>
      <c r="H5" s="196"/>
      <c r="I5" s="96"/>
      <c r="J5" s="96"/>
      <c r="K5" s="97" t="s">
        <v>0</v>
      </c>
    </row>
    <row r="6" spans="1:13" ht="15" x14ac:dyDescent="0.3">
      <c r="A6" s="196" t="s">
        <v>93</v>
      </c>
      <c r="B6" s="196"/>
      <c r="C6" s="196"/>
      <c r="D6" s="196"/>
      <c r="E6" s="196"/>
      <c r="F6" s="196"/>
      <c r="G6" s="196"/>
      <c r="H6" s="196"/>
      <c r="I6" s="96"/>
      <c r="J6" s="96"/>
    </row>
    <row r="7" spans="1:13" ht="15" x14ac:dyDescent="0.3">
      <c r="A7" s="220" t="s">
        <v>94</v>
      </c>
      <c r="B7" s="220"/>
      <c r="C7" s="220"/>
      <c r="D7" s="220"/>
      <c r="E7" s="220"/>
      <c r="F7" s="220"/>
      <c r="G7" s="220"/>
      <c r="H7" s="220"/>
      <c r="I7" s="96"/>
      <c r="J7" s="96"/>
    </row>
    <row r="8" spans="1:13" ht="15" x14ac:dyDescent="0.3">
      <c r="A8" s="196" t="s">
        <v>95</v>
      </c>
      <c r="B8" s="196"/>
      <c r="C8" s="196"/>
      <c r="D8" s="196"/>
      <c r="E8" s="196"/>
      <c r="F8" s="196"/>
      <c r="G8" s="196"/>
      <c r="H8" s="196"/>
      <c r="I8" s="96"/>
      <c r="J8" s="96"/>
      <c r="K8" s="98" t="s">
        <v>0</v>
      </c>
    </row>
    <row r="9" spans="1:13" ht="15" thickBot="1" x14ac:dyDescent="0.35">
      <c r="E9" s="99" t="s">
        <v>0</v>
      </c>
      <c r="H9" s="100" t="s">
        <v>0</v>
      </c>
    </row>
    <row r="10" spans="1:13" ht="75.599999999999994" thickBot="1" x14ac:dyDescent="0.35">
      <c r="A10" s="101" t="s">
        <v>96</v>
      </c>
      <c r="B10" s="102" t="s">
        <v>97</v>
      </c>
      <c r="C10" s="102" t="s">
        <v>98</v>
      </c>
      <c r="D10" s="102" t="s">
        <v>122</v>
      </c>
      <c r="E10" s="102" t="s">
        <v>99</v>
      </c>
      <c r="F10" s="102" t="s">
        <v>192</v>
      </c>
      <c r="G10" s="102" t="s">
        <v>100</v>
      </c>
      <c r="H10" s="102" t="s">
        <v>101</v>
      </c>
      <c r="I10" s="102" t="s">
        <v>102</v>
      </c>
      <c r="J10" s="102" t="s">
        <v>103</v>
      </c>
      <c r="K10" s="103" t="s">
        <v>104</v>
      </c>
    </row>
    <row r="11" spans="1:13" ht="15.6" x14ac:dyDescent="0.3">
      <c r="A11" s="104" t="s">
        <v>105</v>
      </c>
      <c r="B11" s="105">
        <v>108000</v>
      </c>
      <c r="C11" s="106">
        <f>1.04471363956462*1.022</f>
        <v>1.0676973396350415</v>
      </c>
      <c r="D11" s="105">
        <f>B11*C11</f>
        <v>115311.31268058448</v>
      </c>
      <c r="E11" s="107">
        <f>ROUND(D11/(((DATE(LEFT('Planning Parameters'!$A$1,4)*1+1,5,31)-(DATE(LEFT('Planning Parameters'!$A$1,4)*1,6,1))+1))*(1-$H$4)),2)</f>
        <v>331.78</v>
      </c>
      <c r="F11" s="108"/>
      <c r="G11" s="108"/>
      <c r="H11" s="108"/>
      <c r="I11" s="108"/>
      <c r="J11" s="109"/>
      <c r="K11" s="110"/>
    </row>
    <row r="12" spans="1:13" ht="15.6" x14ac:dyDescent="0.3">
      <c r="A12" s="111" t="s">
        <v>60</v>
      </c>
      <c r="B12" s="112" t="s">
        <v>0</v>
      </c>
      <c r="C12" s="112"/>
      <c r="D12" s="112"/>
      <c r="E12" s="113">
        <f t="shared" ref="E12:E18" si="0">$E$11</f>
        <v>331.78</v>
      </c>
      <c r="F12" s="114">
        <v>9229.27</v>
      </c>
      <c r="G12" s="115">
        <v>2199</v>
      </c>
      <c r="H12" s="114">
        <f t="shared" ref="H12:H17" si="1">F12+G12</f>
        <v>11428.27</v>
      </c>
      <c r="I12" s="113">
        <f>($D$11-H12)/((DATE(LEFT('Planning Parameters'!$A$1,4)*1+1,5,31)-(DATE(LEFT('Planning Parameters'!$A$1,4)*1,6,1))+1))</f>
        <v>283.8334499469521</v>
      </c>
      <c r="J12" s="113">
        <f t="shared" ref="J12:J17" si="2">ROUND(I12/(1-$H$4),2)</f>
        <v>298.89999999999998</v>
      </c>
      <c r="K12" s="116"/>
    </row>
    <row r="13" spans="1:13" ht="15.6" x14ac:dyDescent="0.3">
      <c r="A13" s="111" t="s">
        <v>68</v>
      </c>
      <c r="B13" s="112" t="s">
        <v>0</v>
      </c>
      <c r="C13" s="112"/>
      <c r="D13" s="112"/>
      <c r="E13" s="113">
        <f t="shared" si="0"/>
        <v>331.78</v>
      </c>
      <c r="F13" s="114">
        <v>21042.560000000001</v>
      </c>
      <c r="G13" s="115">
        <v>2199</v>
      </c>
      <c r="H13" s="114">
        <f t="shared" si="1"/>
        <v>23241.56</v>
      </c>
      <c r="I13" s="113">
        <f>($D$11-H13)/((DATE(LEFT('Planning Parameters'!$A$1,4)*1+1,5,31)-(DATE(LEFT('Planning Parameters'!$A$1,4)*1,6,1))+1))</f>
        <v>251.55670131307235</v>
      </c>
      <c r="J13" s="113">
        <f t="shared" si="2"/>
        <v>264.91000000000003</v>
      </c>
      <c r="K13" s="117" t="s">
        <v>13</v>
      </c>
    </row>
    <row r="14" spans="1:13" ht="15.6" x14ac:dyDescent="0.3">
      <c r="A14" s="111" t="s">
        <v>70</v>
      </c>
      <c r="B14" s="112" t="s">
        <v>0</v>
      </c>
      <c r="C14" s="112"/>
      <c r="D14" s="112"/>
      <c r="E14" s="113">
        <f t="shared" si="0"/>
        <v>331.78</v>
      </c>
      <c r="F14" s="114">
        <v>9193.58</v>
      </c>
      <c r="G14" s="115">
        <v>2199</v>
      </c>
      <c r="H14" s="114">
        <f t="shared" si="1"/>
        <v>11392.58</v>
      </c>
      <c r="I14" s="113">
        <f>($D$11-H14)/((DATE(LEFT('Planning Parameters'!$A$1,4)*1+1,5,31)-(DATE(LEFT('Planning Parameters'!$A$1,4)*1,6,1))+1))</f>
        <v>283.93096360815429</v>
      </c>
      <c r="J14" s="113">
        <f t="shared" si="2"/>
        <v>299</v>
      </c>
      <c r="K14" s="116"/>
    </row>
    <row r="15" spans="1:13" ht="15.6" x14ac:dyDescent="0.3">
      <c r="A15" s="111" t="s">
        <v>106</v>
      </c>
      <c r="B15" s="112" t="s">
        <v>0</v>
      </c>
      <c r="C15" s="112"/>
      <c r="D15" s="112"/>
      <c r="E15" s="113">
        <f t="shared" si="0"/>
        <v>331.78</v>
      </c>
      <c r="F15" s="114">
        <v>9296.73</v>
      </c>
      <c r="G15" s="115">
        <v>2199</v>
      </c>
      <c r="H15" s="114">
        <f t="shared" si="1"/>
        <v>11495.73</v>
      </c>
      <c r="I15" s="113">
        <f>($D$11-H15)/((DATE(LEFT('Planning Parameters'!$A$1,4)*1+1,5,31)-(DATE(LEFT('Planning Parameters'!$A$1,4)*1,6,1))+1))</f>
        <v>283.64913300706144</v>
      </c>
      <c r="J15" s="113">
        <f t="shared" si="2"/>
        <v>298.7</v>
      </c>
      <c r="K15" s="116"/>
    </row>
    <row r="16" spans="1:13" ht="15.6" x14ac:dyDescent="0.3">
      <c r="A16" s="111" t="s">
        <v>107</v>
      </c>
      <c r="B16" s="112" t="s">
        <v>0</v>
      </c>
      <c r="C16" s="112"/>
      <c r="D16" s="112"/>
      <c r="E16" s="113">
        <f t="shared" si="0"/>
        <v>331.78</v>
      </c>
      <c r="F16" s="114">
        <v>8982.64</v>
      </c>
      <c r="G16" s="115">
        <v>2199</v>
      </c>
      <c r="H16" s="114">
        <f t="shared" si="1"/>
        <v>11181.64</v>
      </c>
      <c r="I16" s="113">
        <f>($D$11-H16)/((DATE(LEFT('Planning Parameters'!$A$1,4)*1+1,5,31)-(DATE(LEFT('Planning Parameters'!$A$1,4)*1,6,1))+1))</f>
        <v>284.50730240596852</v>
      </c>
      <c r="J16" s="113">
        <f t="shared" si="2"/>
        <v>299.61</v>
      </c>
      <c r="K16" s="118" t="s">
        <v>108</v>
      </c>
    </row>
    <row r="17" spans="1:11" ht="15.6" x14ac:dyDescent="0.3">
      <c r="A17" s="111" t="s">
        <v>76</v>
      </c>
      <c r="B17" s="112" t="s">
        <v>0</v>
      </c>
      <c r="C17" s="112"/>
      <c r="D17" s="112"/>
      <c r="E17" s="113">
        <f t="shared" si="0"/>
        <v>331.78</v>
      </c>
      <c r="F17" s="114">
        <v>13360.99</v>
      </c>
      <c r="G17" s="115">
        <v>2199</v>
      </c>
      <c r="H17" s="114">
        <f t="shared" si="1"/>
        <v>15559.99</v>
      </c>
      <c r="I17" s="113">
        <f>($D$11-H17)/((DATE(LEFT('Planning Parameters'!$A$1,4)*1+1,5,31)-(DATE(LEFT('Planning Parameters'!$A$1,4)*1,6,1))+1))</f>
        <v>272.54459748793573</v>
      </c>
      <c r="J17" s="113">
        <f t="shared" si="2"/>
        <v>287.01</v>
      </c>
      <c r="K17" s="116"/>
    </row>
    <row r="18" spans="1:11" ht="16.2" thickBot="1" x14ac:dyDescent="0.35">
      <c r="A18" s="119" t="s">
        <v>9</v>
      </c>
      <c r="B18" s="120" t="s">
        <v>0</v>
      </c>
      <c r="C18" s="120"/>
      <c r="D18" s="120"/>
      <c r="E18" s="121">
        <f t="shared" si="0"/>
        <v>331.78</v>
      </c>
      <c r="F18" s="122" t="s">
        <v>0</v>
      </c>
      <c r="G18" s="123" t="s">
        <v>0</v>
      </c>
      <c r="H18" s="123"/>
      <c r="I18" s="121">
        <f>ROUND(J18*(1-$H$4),2)</f>
        <v>276.68</v>
      </c>
      <c r="J18" s="121">
        <f>ROUND(AVERAGE(J12:J17),2)</f>
        <v>291.36</v>
      </c>
      <c r="K18" s="124" t="s">
        <v>9</v>
      </c>
    </row>
    <row r="19" spans="1:11" ht="15.6" x14ac:dyDescent="0.3">
      <c r="A19" s="104" t="s">
        <v>109</v>
      </c>
      <c r="B19" s="105">
        <v>109700</v>
      </c>
      <c r="C19" s="106">
        <f>1.03995770197285*1.022</f>
        <v>1.0628367714162528</v>
      </c>
      <c r="D19" s="105">
        <f>B19*C19</f>
        <v>116593.19382436293</v>
      </c>
      <c r="E19" s="107">
        <f>ROUND(D19/(((DATE(LEFT('Planning Parameters'!$A$1,4)*1+1,5,31)-(DATE(LEFT('Planning Parameters'!$A$1,4)*1,6,1))+1))*(1-$H$4)),2)</f>
        <v>335.47</v>
      </c>
      <c r="F19" s="125"/>
      <c r="G19" s="126"/>
      <c r="H19" s="126"/>
      <c r="I19" s="107"/>
      <c r="J19" s="127" t="s">
        <v>0</v>
      </c>
      <c r="K19" s="110"/>
    </row>
    <row r="20" spans="1:11" ht="15.6" x14ac:dyDescent="0.3">
      <c r="A20" s="111" t="s">
        <v>18</v>
      </c>
      <c r="B20" s="112" t="s">
        <v>0</v>
      </c>
      <c r="C20" s="112"/>
      <c r="D20" s="112"/>
      <c r="E20" s="113">
        <f>$E$19</f>
        <v>335.47</v>
      </c>
      <c r="F20" s="114">
        <v>38125.65</v>
      </c>
      <c r="G20" s="115">
        <v>2199</v>
      </c>
      <c r="H20" s="114">
        <f>F20+G20</f>
        <v>40324.65</v>
      </c>
      <c r="I20" s="113">
        <f>($D$19-H20)/((DATE(LEFT('Planning Parameters'!$A$1,4)*1+1,5,31)-(DATE(LEFT('Planning Parameters'!$A$1,4)*1,6,1))+1))</f>
        <v>208.38399952011727</v>
      </c>
      <c r="J20" s="113">
        <f>ROUND(I20/(1-$H$4),2)</f>
        <v>219.44</v>
      </c>
      <c r="K20" s="118" t="s">
        <v>18</v>
      </c>
    </row>
    <row r="21" spans="1:11" ht="15.6" x14ac:dyDescent="0.3">
      <c r="A21" s="111" t="s">
        <v>14</v>
      </c>
      <c r="B21" s="112"/>
      <c r="C21" s="112"/>
      <c r="D21" s="112"/>
      <c r="E21" s="113">
        <f>$E$19</f>
        <v>335.47</v>
      </c>
      <c r="F21" s="114">
        <v>20555.5</v>
      </c>
      <c r="G21" s="115">
        <v>2199</v>
      </c>
      <c r="H21" s="114">
        <f>F21+G21</f>
        <v>22754.5</v>
      </c>
      <c r="I21" s="113">
        <f>($D$19-H21)/((DATE(LEFT('Planning Parameters'!$A$1,4)*1+1,5,31)-(DATE(LEFT('Planning Parameters'!$A$1,4)*1,6,1))+1))</f>
        <v>256.38987383705717</v>
      </c>
      <c r="J21" s="113">
        <f>ROUND(I21/(1-$H$4),2)</f>
        <v>270</v>
      </c>
      <c r="K21" s="118" t="s">
        <v>14</v>
      </c>
    </row>
    <row r="22" spans="1:11" ht="16.2" thickBot="1" x14ac:dyDescent="0.35">
      <c r="A22" s="119" t="s">
        <v>10</v>
      </c>
      <c r="B22" s="120"/>
      <c r="C22" s="120"/>
      <c r="D22" s="120"/>
      <c r="E22" s="121">
        <f>$E$19</f>
        <v>335.47</v>
      </c>
      <c r="F22" s="122" t="s">
        <v>0</v>
      </c>
      <c r="G22" s="123" t="s">
        <v>0</v>
      </c>
      <c r="H22" s="123"/>
      <c r="I22" s="121">
        <f>ROUND(J22*(1-$H$4),2)</f>
        <v>232.39</v>
      </c>
      <c r="J22" s="121">
        <f>ROUND(AVERAGE(J20:J21),2)</f>
        <v>244.72</v>
      </c>
      <c r="K22" s="124" t="s">
        <v>10</v>
      </c>
    </row>
    <row r="23" spans="1:11" ht="15.6" x14ac:dyDescent="0.3">
      <c r="A23" s="104" t="s">
        <v>110</v>
      </c>
      <c r="B23" s="105">
        <v>105500</v>
      </c>
      <c r="C23" s="106">
        <f>1.03702973654022*1.022</f>
        <v>1.0598443907441049</v>
      </c>
      <c r="D23" s="105">
        <f>B23*C23</f>
        <v>111813.58322350307</v>
      </c>
      <c r="E23" s="107">
        <f>ROUND(D23/(((DATE(LEFT('Planning Parameters'!$A$1,4)*1+1,5,31)-(DATE(LEFT('Planning Parameters'!$A$1,4)*1,6,1))+1))*(1-$H$4)),2)</f>
        <v>321.72000000000003</v>
      </c>
      <c r="F23" s="125"/>
      <c r="G23" s="126" t="s">
        <v>0</v>
      </c>
      <c r="H23" s="126"/>
      <c r="I23" s="107"/>
      <c r="J23" s="127"/>
      <c r="K23" s="110"/>
    </row>
    <row r="24" spans="1:11" ht="15.6" x14ac:dyDescent="0.3">
      <c r="A24" s="111" t="s">
        <v>71</v>
      </c>
      <c r="B24" s="112" t="s">
        <v>0</v>
      </c>
      <c r="C24" s="112"/>
      <c r="D24" s="112"/>
      <c r="E24" s="113">
        <f>$E$23</f>
        <v>321.72000000000003</v>
      </c>
      <c r="F24" s="114">
        <v>19621.990000000002</v>
      </c>
      <c r="G24" s="115">
        <v>2199</v>
      </c>
      <c r="H24" s="114">
        <f>F24+G24</f>
        <v>21820.99</v>
      </c>
      <c r="I24" s="113">
        <f>($D$23-H24)/((DATE(LEFT('Planning Parameters'!$A$1,4)*1+1,5,31)-(DATE(LEFT('Planning Parameters'!$A$1,4)*1,6,1))+1))</f>
        <v>245.88140225000836</v>
      </c>
      <c r="J24" s="113">
        <f>ROUND(I24/(1-$H$4),2)</f>
        <v>258.93</v>
      </c>
      <c r="K24" s="116"/>
    </row>
    <row r="25" spans="1:11" ht="15.6" x14ac:dyDescent="0.3">
      <c r="A25" s="111" t="s">
        <v>111</v>
      </c>
      <c r="B25" s="112"/>
      <c r="C25" s="112"/>
      <c r="D25" s="112"/>
      <c r="E25" s="113">
        <f>$E$23</f>
        <v>321.72000000000003</v>
      </c>
      <c r="F25" s="114">
        <v>22791.56</v>
      </c>
      <c r="G25" s="115">
        <v>2199</v>
      </c>
      <c r="H25" s="114">
        <f>F25+G25</f>
        <v>24990.560000000001</v>
      </c>
      <c r="I25" s="113">
        <f>($D$23-H25)/((DATE(LEFT('Planning Parameters'!$A$1,4)*1+1,5,31)-(DATE(LEFT('Planning Parameters'!$A$1,4)*1,6,1))+1))</f>
        <v>237.22137492760402</v>
      </c>
      <c r="J25" s="113">
        <f>ROUND(I25/(1-$H$4),2)</f>
        <v>249.81</v>
      </c>
      <c r="K25" s="116"/>
    </row>
    <row r="26" spans="1:11" ht="15.6" x14ac:dyDescent="0.3">
      <c r="A26" s="111" t="s">
        <v>112</v>
      </c>
      <c r="B26" s="112"/>
      <c r="C26" s="112"/>
      <c r="D26" s="112"/>
      <c r="E26" s="113">
        <f>$E$23</f>
        <v>321.72000000000003</v>
      </c>
      <c r="F26" s="114">
        <v>12467.47</v>
      </c>
      <c r="G26" s="115">
        <v>2199</v>
      </c>
      <c r="H26" s="114">
        <f>F26+G26</f>
        <v>14666.47</v>
      </c>
      <c r="I26" s="113">
        <f>($D$23-H26)/((DATE(LEFT('Planning Parameters'!$A$1,4)*1+1,5,31)-(DATE(LEFT('Planning Parameters'!$A$1,4)*1,6,1))+1))</f>
        <v>265.4292711024674</v>
      </c>
      <c r="J26" s="113">
        <f>ROUND(I26/(1-$H$4),2)</f>
        <v>279.52</v>
      </c>
      <c r="K26" s="118" t="s">
        <v>112</v>
      </c>
    </row>
    <row r="27" spans="1:11" ht="16.2" thickBot="1" x14ac:dyDescent="0.35">
      <c r="A27" s="119" t="s">
        <v>8</v>
      </c>
      <c r="B27" s="120" t="s">
        <v>0</v>
      </c>
      <c r="C27" s="120"/>
      <c r="D27" s="120"/>
      <c r="E27" s="121">
        <f>ROUND(AVERAGE(E12,E13,E14,E15,E16,E17,E20,E21,E24,E25,E26),2)</f>
        <v>329.71</v>
      </c>
      <c r="F27" s="122" t="s">
        <v>0</v>
      </c>
      <c r="G27" s="123" t="s">
        <v>0</v>
      </c>
      <c r="H27" s="123"/>
      <c r="I27" s="121">
        <f>ROUND(J27*(1-$H$4),2)</f>
        <v>261.22000000000003</v>
      </c>
      <c r="J27" s="121">
        <f>ROUND(AVERAGE(J12,J13,J14,J15,J16,J17,J20,J21,J24,J25,J26),2)</f>
        <v>275.08</v>
      </c>
      <c r="K27" s="124" t="s">
        <v>8</v>
      </c>
    </row>
    <row r="28" spans="1:11" ht="15.6" x14ac:dyDescent="0.3">
      <c r="A28" s="104" t="s">
        <v>113</v>
      </c>
      <c r="B28" s="105">
        <v>105500</v>
      </c>
      <c r="C28" s="106">
        <f>1.03626178885175*1.022</f>
        <v>1.0590595482064886</v>
      </c>
      <c r="D28" s="105">
        <f>B28*C28</f>
        <v>111730.78233578455</v>
      </c>
      <c r="E28" s="107">
        <f>ROUND(D28/(366*(1-$H$4)),2)</f>
        <v>321.48</v>
      </c>
      <c r="F28" s="125"/>
      <c r="G28" s="126" t="s">
        <v>0</v>
      </c>
      <c r="H28" s="126"/>
      <c r="I28" s="107"/>
      <c r="J28" s="127"/>
      <c r="K28" s="110"/>
    </row>
    <row r="29" spans="1:11" ht="15.6" x14ac:dyDescent="0.3">
      <c r="A29" s="128" t="s">
        <v>62</v>
      </c>
      <c r="B29" s="112"/>
      <c r="C29" s="112"/>
      <c r="D29" s="112"/>
      <c r="E29" s="113">
        <f>$E$28</f>
        <v>321.48</v>
      </c>
      <c r="F29" s="114">
        <v>22906.44</v>
      </c>
      <c r="G29" s="115">
        <v>2199</v>
      </c>
      <c r="H29" s="114">
        <f t="shared" ref="H29:H38" si="3">F29+G29</f>
        <v>25105.439999999999</v>
      </c>
      <c r="I29" s="113">
        <f>($D$28-H29)/((DATE(LEFT('Planning Parameters'!$A$1,4)*1+1,5,31)-(DATE(LEFT('Planning Parameters'!$A$1,4)*1,6,1))+1))</f>
        <v>236.68126321252609</v>
      </c>
      <c r="J29" s="113">
        <f>ROUND(I29/(1-$H$4),2)</f>
        <v>249.24</v>
      </c>
      <c r="K29" s="116"/>
    </row>
    <row r="30" spans="1:11" ht="15.6" x14ac:dyDescent="0.3">
      <c r="A30" s="128" t="s">
        <v>64</v>
      </c>
      <c r="B30" s="112"/>
      <c r="C30" s="112"/>
      <c r="D30" s="112"/>
      <c r="E30" s="113">
        <f t="shared" ref="E30:E38" si="4">$E$28</f>
        <v>321.48</v>
      </c>
      <c r="F30" s="114">
        <v>28042.44</v>
      </c>
      <c r="G30" s="115">
        <v>2199</v>
      </c>
      <c r="H30" s="114">
        <f t="shared" si="3"/>
        <v>30241.439999999999</v>
      </c>
      <c r="I30" s="113">
        <f>($D$28-H30)/((DATE(LEFT('Planning Parameters'!$A$1,4)*1+1,5,31)-(DATE(LEFT('Planning Parameters'!$A$1,4)*1,6,1))+1))</f>
        <v>222.64847632728018</v>
      </c>
      <c r="J30" s="113">
        <f>ROUND(I30/(1-$H$4),2)</f>
        <v>234.47</v>
      </c>
      <c r="K30" s="116"/>
    </row>
    <row r="31" spans="1:11" ht="15.6" x14ac:dyDescent="0.3">
      <c r="A31" s="111" t="s">
        <v>15</v>
      </c>
      <c r="B31" s="112" t="s">
        <v>0</v>
      </c>
      <c r="C31" s="112"/>
      <c r="D31" s="112"/>
      <c r="E31" s="113">
        <f t="shared" si="4"/>
        <v>321.48</v>
      </c>
      <c r="F31" s="114">
        <v>18099.54</v>
      </c>
      <c r="G31" s="115">
        <v>2199</v>
      </c>
      <c r="H31" s="114">
        <f t="shared" si="3"/>
        <v>20298.54</v>
      </c>
      <c r="I31" s="113">
        <f>($D$28-H31)/((DATE(LEFT('Planning Parameters'!$A$1,4)*1+1,5,31)-(DATE(LEFT('Planning Parameters'!$A$1,4)*1,6,1))+1))</f>
        <v>249.81486976990311</v>
      </c>
      <c r="J31" s="113">
        <f>ROUND(I31/(1-$H$4),2)</f>
        <v>263.07</v>
      </c>
      <c r="K31" s="118" t="s">
        <v>114</v>
      </c>
    </row>
    <row r="32" spans="1:11" ht="15.6" x14ac:dyDescent="0.3">
      <c r="A32" s="111" t="s">
        <v>17</v>
      </c>
      <c r="B32" s="112"/>
      <c r="C32" s="112"/>
      <c r="D32" s="112"/>
      <c r="E32" s="113">
        <f t="shared" si="4"/>
        <v>321.48</v>
      </c>
      <c r="F32" s="114">
        <v>10491.04</v>
      </c>
      <c r="G32" s="115">
        <v>2199</v>
      </c>
      <c r="H32" s="114">
        <f t="shared" si="3"/>
        <v>12690.04</v>
      </c>
      <c r="I32" s="113">
        <f>($D$28-H32)/((DATE(LEFT('Planning Parameters'!$A$1,4)*1+1,5,31)-(DATE(LEFT('Planning Parameters'!$A$1,4)*1,6,1))+1))</f>
        <v>270.60312113602333</v>
      </c>
      <c r="J32" s="113">
        <f t="shared" ref="J32:J38" si="5">ROUND(I32/(1-$H$4),2)</f>
        <v>284.97000000000003</v>
      </c>
      <c r="K32" s="118" t="s">
        <v>17</v>
      </c>
    </row>
    <row r="33" spans="1:11" ht="15.6" x14ac:dyDescent="0.3">
      <c r="A33" s="111" t="s">
        <v>20</v>
      </c>
      <c r="B33" s="112"/>
      <c r="C33" s="112"/>
      <c r="D33" s="112"/>
      <c r="E33" s="113">
        <f t="shared" si="4"/>
        <v>321.48</v>
      </c>
      <c r="F33" s="114">
        <v>23710.95</v>
      </c>
      <c r="G33" s="115">
        <v>2199</v>
      </c>
      <c r="H33" s="114">
        <f t="shared" si="3"/>
        <v>25909.95</v>
      </c>
      <c r="I33" s="113">
        <f>($D$28-H33)/((DATE(LEFT('Planning Parameters'!$A$1,4)*1+1,5,31)-(DATE(LEFT('Planning Parameters'!$A$1,4)*1,6,1))+1))</f>
        <v>234.48314845842773</v>
      </c>
      <c r="J33" s="113">
        <f t="shared" si="5"/>
        <v>246.93</v>
      </c>
      <c r="K33" s="117" t="s">
        <v>20</v>
      </c>
    </row>
    <row r="34" spans="1:11" ht="15.6" x14ac:dyDescent="0.3">
      <c r="A34" s="111" t="s">
        <v>21</v>
      </c>
      <c r="B34" s="112"/>
      <c r="C34" s="112"/>
      <c r="D34" s="112"/>
      <c r="E34" s="113">
        <f t="shared" si="4"/>
        <v>321.48</v>
      </c>
      <c r="F34" s="114">
        <v>21729.19</v>
      </c>
      <c r="G34" s="115">
        <v>2199</v>
      </c>
      <c r="H34" s="114">
        <f t="shared" si="3"/>
        <v>23928.19</v>
      </c>
      <c r="I34" s="113">
        <f>($D$28-H34)/((DATE(LEFT('Planning Parameters'!$A$1,4)*1+1,5,31)-(DATE(LEFT('Planning Parameters'!$A$1,4)*1,6,1))+1))</f>
        <v>239.8977932671709</v>
      </c>
      <c r="J34" s="113">
        <f t="shared" si="5"/>
        <v>252.63</v>
      </c>
      <c r="K34" s="117" t="s">
        <v>21</v>
      </c>
    </row>
    <row r="35" spans="1:11" ht="15.6" x14ac:dyDescent="0.3">
      <c r="A35" s="111" t="s">
        <v>66</v>
      </c>
      <c r="B35" s="112"/>
      <c r="C35" s="112"/>
      <c r="D35" s="112"/>
      <c r="E35" s="113">
        <f t="shared" si="4"/>
        <v>321.48</v>
      </c>
      <c r="F35" s="114">
        <v>21451.21</v>
      </c>
      <c r="G35" s="115">
        <v>2199</v>
      </c>
      <c r="H35" s="114">
        <f t="shared" si="3"/>
        <v>23650.21</v>
      </c>
      <c r="I35" s="113">
        <f>($D$28-H35)/((DATE(LEFT('Planning Parameters'!$A$1,4)*1+1,5,31)-(DATE(LEFT('Planning Parameters'!$A$1,4)*1,6,1))+1))</f>
        <v>240.65730146389222</v>
      </c>
      <c r="J35" s="113">
        <f t="shared" si="5"/>
        <v>253.43</v>
      </c>
      <c r="K35" s="116"/>
    </row>
    <row r="36" spans="1:11" ht="15.6" x14ac:dyDescent="0.3">
      <c r="A36" s="111" t="s">
        <v>67</v>
      </c>
      <c r="B36" s="112"/>
      <c r="C36" s="112"/>
      <c r="D36" s="112"/>
      <c r="E36" s="113">
        <f t="shared" si="4"/>
        <v>321.48</v>
      </c>
      <c r="F36" s="114">
        <v>21216.48</v>
      </c>
      <c r="G36" s="115">
        <v>2199</v>
      </c>
      <c r="H36" s="114">
        <f t="shared" si="3"/>
        <v>23415.48</v>
      </c>
      <c r="I36" s="113">
        <f>($D$28-H36)/((DATE(LEFT('Planning Parameters'!$A$1,4)*1+1,5,31)-(DATE(LEFT('Planning Parameters'!$A$1,4)*1,6,1))+1))</f>
        <v>241.29864026170642</v>
      </c>
      <c r="J36" s="113">
        <f t="shared" si="5"/>
        <v>254.11</v>
      </c>
      <c r="K36" s="116"/>
    </row>
    <row r="37" spans="1:11" ht="15.6" x14ac:dyDescent="0.3">
      <c r="A37" s="111" t="s">
        <v>69</v>
      </c>
      <c r="B37" s="112"/>
      <c r="C37" s="112"/>
      <c r="D37" s="112"/>
      <c r="E37" s="113">
        <f>$E$28</f>
        <v>321.48</v>
      </c>
      <c r="F37" s="114">
        <v>16090.83</v>
      </c>
      <c r="G37" s="115">
        <v>2199</v>
      </c>
      <c r="H37" s="114">
        <f t="shared" si="3"/>
        <v>18289.830000000002</v>
      </c>
      <c r="I37" s="113">
        <f>($D$28-H37)/((DATE(LEFT('Planning Parameters'!$A$1,4)*1+1,5,31)-(DATE(LEFT('Planning Parameters'!$A$1,4)*1,6,1))+1))</f>
        <v>255.30314845842773</v>
      </c>
      <c r="J37" s="113">
        <f t="shared" si="5"/>
        <v>268.85000000000002</v>
      </c>
      <c r="K37" s="116"/>
    </row>
    <row r="38" spans="1:11" ht="16.2" thickBot="1" x14ac:dyDescent="0.35">
      <c r="A38" s="111" t="s">
        <v>72</v>
      </c>
      <c r="B38" s="112"/>
      <c r="C38" s="112"/>
      <c r="D38" s="112"/>
      <c r="E38" s="113">
        <f t="shared" si="4"/>
        <v>321.48</v>
      </c>
      <c r="F38" s="129">
        <v>20048.75</v>
      </c>
      <c r="G38" s="115">
        <v>2199</v>
      </c>
      <c r="H38" s="114">
        <f t="shared" si="3"/>
        <v>22247.75</v>
      </c>
      <c r="I38" s="113">
        <f>($D$28-H38)/((DATE(LEFT('Planning Parameters'!$A$1,4)*1+1,5,31)-(DATE(LEFT('Planning Parameters'!$A$1,4)*1,6,1))+1))</f>
        <v>244.48915938738946</v>
      </c>
      <c r="J38" s="113">
        <f t="shared" si="5"/>
        <v>257.47000000000003</v>
      </c>
      <c r="K38" s="116"/>
    </row>
    <row r="39" spans="1:11" ht="16.2" thickBot="1" x14ac:dyDescent="0.35">
      <c r="A39" s="130" t="s">
        <v>1</v>
      </c>
      <c r="B39" s="131">
        <f>AVERAGE(B11,B19,B23,B28)</f>
        <v>107175</v>
      </c>
      <c r="C39" s="131"/>
      <c r="D39" s="131">
        <f>AVERAGE(D11,D19,D23,D28)</f>
        <v>113862.21801605876</v>
      </c>
      <c r="E39" s="132">
        <f>ROUND(D39/(((DATE(LEFT('Planning Parameters'!$A$1,4)*1+1,5,31)-(DATE(LEFT('Planning Parameters'!$A$1,4)*1,6,1))+1))*(1-$H$4)),2)</f>
        <v>327.61</v>
      </c>
      <c r="F39" s="133">
        <v>16100.87</v>
      </c>
      <c r="G39" s="134">
        <f>G31</f>
        <v>2199</v>
      </c>
      <c r="H39" s="133">
        <f>F39+G39</f>
        <v>18299.870000000003</v>
      </c>
      <c r="I39" s="132">
        <f>($D$39-H39)/((DATE(LEFT('Planning Parameters'!$A$1,4)*1+1,5,31)-(DATE(LEFT('Planning Parameters'!$A$1,4)*1,6,1))+1))</f>
        <v>261.09931151928623</v>
      </c>
      <c r="J39" s="132">
        <f>ROUND(I39/(1-$H$4),2)</f>
        <v>274.95999999999998</v>
      </c>
      <c r="K39" s="135" t="s">
        <v>1</v>
      </c>
    </row>
    <row r="40" spans="1:11" ht="15.6" thickBot="1" x14ac:dyDescent="0.35">
      <c r="A40" s="136" t="s">
        <v>0</v>
      </c>
      <c r="B40" s="137"/>
      <c r="C40" s="137"/>
      <c r="D40" s="137"/>
      <c r="E40" s="137"/>
      <c r="F40" s="138"/>
      <c r="G40" s="137"/>
      <c r="H40" s="137"/>
      <c r="I40" s="137"/>
      <c r="J40" s="137"/>
      <c r="K40" s="137"/>
    </row>
    <row r="41" spans="1:11" ht="15.6" thickBot="1" x14ac:dyDescent="0.35">
      <c r="A41" s="221" t="s">
        <v>115</v>
      </c>
      <c r="B41" s="222"/>
      <c r="C41" s="222"/>
      <c r="D41" s="222"/>
      <c r="E41" s="222"/>
      <c r="F41" s="222"/>
      <c r="G41" s="222"/>
      <c r="H41" s="222"/>
      <c r="I41" s="222"/>
      <c r="J41" s="223"/>
    </row>
  </sheetData>
  <mergeCells count="8">
    <mergeCell ref="A7:H7"/>
    <mergeCell ref="A8:H8"/>
    <mergeCell ref="A41:J41"/>
    <mergeCell ref="A2:H2"/>
    <mergeCell ref="A3:H3"/>
    <mergeCell ref="A4:G4"/>
    <mergeCell ref="A5:H5"/>
    <mergeCell ref="A6:H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sqref="A1:C1"/>
    </sheetView>
  </sheetViews>
  <sheetFormatPr defaultRowHeight="14.4" x14ac:dyDescent="0.3"/>
  <cols>
    <col min="1" max="1" width="12.6640625" customWidth="1"/>
    <col min="2" max="2" width="100.6640625" customWidth="1"/>
    <col min="3" max="3" width="15.6640625" customWidth="1"/>
  </cols>
  <sheetData>
    <row r="1" spans="1:3" ht="17.399999999999999" x14ac:dyDescent="0.3">
      <c r="A1" s="224" t="s">
        <v>131</v>
      </c>
      <c r="B1" s="225"/>
      <c r="C1" s="226"/>
    </row>
    <row r="2" spans="1:3" ht="27.6" x14ac:dyDescent="0.3">
      <c r="A2" s="166" t="s">
        <v>116</v>
      </c>
      <c r="B2" s="167" t="s">
        <v>117</v>
      </c>
      <c r="C2" s="168" t="s">
        <v>118</v>
      </c>
    </row>
    <row r="3" spans="1:3" x14ac:dyDescent="0.3">
      <c r="A3" s="169" t="s">
        <v>132</v>
      </c>
      <c r="B3" s="170" t="s">
        <v>133</v>
      </c>
      <c r="C3" s="116" t="s">
        <v>119</v>
      </c>
    </row>
    <row r="4" spans="1:3" x14ac:dyDescent="0.3">
      <c r="A4" s="171" t="s">
        <v>134</v>
      </c>
      <c r="B4" s="172" t="s">
        <v>135</v>
      </c>
      <c r="C4" s="173" t="s">
        <v>119</v>
      </c>
    </row>
    <row r="5" spans="1:3" x14ac:dyDescent="0.3">
      <c r="A5" s="171" t="s">
        <v>136</v>
      </c>
      <c r="B5" s="172" t="s">
        <v>137</v>
      </c>
      <c r="C5" s="174" t="s">
        <v>21</v>
      </c>
    </row>
    <row r="6" spans="1:3" ht="28.8" x14ac:dyDescent="0.3">
      <c r="A6" s="171" t="s">
        <v>138</v>
      </c>
      <c r="B6" s="172" t="s">
        <v>139</v>
      </c>
      <c r="C6" s="174" t="s">
        <v>21</v>
      </c>
    </row>
    <row r="7" spans="1:3" x14ac:dyDescent="0.3">
      <c r="A7" s="171" t="s">
        <v>140</v>
      </c>
      <c r="B7" s="172" t="s">
        <v>141</v>
      </c>
      <c r="C7" s="174" t="s">
        <v>21</v>
      </c>
    </row>
    <row r="8" spans="1:3" ht="28.8" x14ac:dyDescent="0.3">
      <c r="A8" s="171" t="s">
        <v>142</v>
      </c>
      <c r="B8" s="172" t="s">
        <v>143</v>
      </c>
      <c r="C8" s="174" t="s">
        <v>21</v>
      </c>
    </row>
    <row r="9" spans="1:3" x14ac:dyDescent="0.3">
      <c r="A9" s="171" t="s">
        <v>144</v>
      </c>
      <c r="B9" s="172" t="s">
        <v>145</v>
      </c>
      <c r="C9" s="174" t="s">
        <v>21</v>
      </c>
    </row>
    <row r="10" spans="1:3" x14ac:dyDescent="0.3">
      <c r="A10" s="171" t="s">
        <v>146</v>
      </c>
      <c r="B10" s="172" t="s">
        <v>147</v>
      </c>
      <c r="C10" s="174" t="s">
        <v>21</v>
      </c>
    </row>
    <row r="11" spans="1:3" ht="28.8" x14ac:dyDescent="0.3">
      <c r="A11" s="171" t="s">
        <v>148</v>
      </c>
      <c r="B11" s="172" t="s">
        <v>149</v>
      </c>
      <c r="C11" s="175" t="s">
        <v>18</v>
      </c>
    </row>
    <row r="12" spans="1:3" ht="28.8" x14ac:dyDescent="0.3">
      <c r="A12" s="176" t="s">
        <v>150</v>
      </c>
      <c r="B12" s="177" t="s">
        <v>151</v>
      </c>
      <c r="C12" s="178" t="s">
        <v>112</v>
      </c>
    </row>
    <row r="13" spans="1:3" x14ac:dyDescent="0.3">
      <c r="A13" s="179" t="s">
        <v>152</v>
      </c>
      <c r="B13" s="180" t="s">
        <v>153</v>
      </c>
      <c r="C13" s="181" t="s">
        <v>107</v>
      </c>
    </row>
    <row r="14" spans="1:3" x14ac:dyDescent="0.3">
      <c r="A14" s="179" t="s">
        <v>154</v>
      </c>
      <c r="B14" s="180" t="s">
        <v>155</v>
      </c>
      <c r="C14" s="181" t="s">
        <v>107</v>
      </c>
    </row>
    <row r="15" spans="1:3" x14ac:dyDescent="0.3">
      <c r="A15" s="179" t="s">
        <v>156</v>
      </c>
      <c r="B15" s="180" t="s">
        <v>157</v>
      </c>
      <c r="C15" s="181" t="s">
        <v>107</v>
      </c>
    </row>
    <row r="16" spans="1:3" x14ac:dyDescent="0.3">
      <c r="A16" s="179" t="s">
        <v>158</v>
      </c>
      <c r="B16" s="180" t="s">
        <v>159</v>
      </c>
      <c r="C16" s="181" t="s">
        <v>107</v>
      </c>
    </row>
    <row r="17" spans="1:3" x14ac:dyDescent="0.3">
      <c r="A17" s="179" t="s">
        <v>160</v>
      </c>
      <c r="B17" s="180" t="s">
        <v>161</v>
      </c>
      <c r="C17" s="181" t="s">
        <v>107</v>
      </c>
    </row>
    <row r="18" spans="1:3" x14ac:dyDescent="0.3">
      <c r="A18" s="179" t="s">
        <v>162</v>
      </c>
      <c r="B18" s="180" t="s">
        <v>163</v>
      </c>
      <c r="C18" s="181" t="s">
        <v>107</v>
      </c>
    </row>
    <row r="19" spans="1:3" x14ac:dyDescent="0.3">
      <c r="A19" s="179" t="s">
        <v>164</v>
      </c>
      <c r="B19" s="180" t="s">
        <v>165</v>
      </c>
      <c r="C19" s="181" t="s">
        <v>107</v>
      </c>
    </row>
    <row r="20" spans="1:3" ht="15" thickBot="1" x14ac:dyDescent="0.35">
      <c r="A20" s="182" t="s">
        <v>166</v>
      </c>
      <c r="B20" s="183" t="s">
        <v>167</v>
      </c>
      <c r="C20" s="184" t="s">
        <v>70</v>
      </c>
    </row>
    <row r="21" spans="1:3" x14ac:dyDescent="0.3">
      <c r="C21" s="5"/>
    </row>
    <row r="22" spans="1:3" ht="15" thickBot="1" x14ac:dyDescent="0.35">
      <c r="C22" s="5"/>
    </row>
    <row r="23" spans="1:3" ht="18" thickBot="1" x14ac:dyDescent="0.35">
      <c r="A23" s="227" t="s">
        <v>168</v>
      </c>
      <c r="B23" s="228"/>
      <c r="C23" s="229"/>
    </row>
    <row r="24" spans="1:3" ht="28.2" thickBot="1" x14ac:dyDescent="0.35">
      <c r="A24" s="160" t="s">
        <v>116</v>
      </c>
      <c r="B24" s="161" t="s">
        <v>117</v>
      </c>
      <c r="C24" s="162" t="s">
        <v>118</v>
      </c>
    </row>
    <row r="25" spans="1:3" x14ac:dyDescent="0.3">
      <c r="A25" s="165" t="s">
        <v>120</v>
      </c>
      <c r="B25" s="163"/>
      <c r="C25" s="164"/>
    </row>
  </sheetData>
  <mergeCells count="2">
    <mergeCell ref="A1:C1"/>
    <mergeCell ref="A23:C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Planning Parameters</vt:lpstr>
      <vt:lpstr>Net CONE</vt:lpstr>
      <vt:lpstr>Key Transmission Upgrades</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Marzewski, Skyler</dc:creator>
  <cp:lastModifiedBy>Marzewski, Skyler</cp:lastModifiedBy>
  <dcterms:created xsi:type="dcterms:W3CDTF">2021-08-09T11:52:54Z</dcterms:created>
  <dcterms:modified xsi:type="dcterms:W3CDTF">2022-06-21T18:05:31Z</dcterms:modified>
</cp:coreProperties>
</file>