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milib\AppData\Local\Temp\vybsj0ov\"/>
    </mc:Choice>
  </mc:AlternateContent>
  <bookViews>
    <workbookView xWindow="2595" yWindow="2595" windowWidth="21600" windowHeight="11385" tabRatio="966" activeTab="0"/>
  </bookViews>
  <sheets>
    <sheet name="Attachment H-21-A ATSI " sheetId="1" r:id="rId2"/>
    <sheet name="Appendix A-ATSI Sched 1A" sheetId="2" r:id="rId3"/>
    <sheet name="Appendix B-Veg" sheetId="37" r:id="rId4"/>
    <sheet name="Appendix C-RRCA" sheetId="34" r:id="rId5"/>
    <sheet name="Appendix D-TEC" sheetId="5" r:id="rId6"/>
    <sheet name="Appendix D-True-up" sheetId="6" r:id="rId7"/>
    <sheet name="Appendix E-MTEP Credit" sheetId="7" r:id="rId8"/>
    <sheet name="Appendix E-True-up" sheetId="8" r:id="rId9"/>
    <sheet name="Appendix F-MTEP Debit" sheetId="36" r:id="rId10"/>
    <sheet name="Appendix G-Inc Tax Adj" sheetId="38" r:id="rId11"/>
    <sheet name="Appendix G(1) - Excess_Def ADIT" sheetId="41" r:id="rId12"/>
    <sheet name="Appendix H-Rev Req True-up Adj" sheetId="25" r:id="rId13"/>
    <sheet name="WP01 Plant" sheetId="13" r:id="rId14"/>
    <sheet name="WP02 Accum Depr" sheetId="14" r:id="rId15"/>
    <sheet name="WP03 ADIT" sheetId="33" r:id="rId16"/>
    <sheet name="WP03-A ADIT Norm" sheetId="44" r:id="rId17"/>
    <sheet name="WP03-B ADIT Detail" sheetId="45" r:id="rId18"/>
    <sheet name="WP04 Other RB" sheetId="16" r:id="rId19"/>
    <sheet name="WP05 Other Tax" sheetId="19" r:id="rId20"/>
    <sheet name="WP06 Cap Structure" sheetId="22" r:id="rId21"/>
    <sheet name="WP07 Stated-value Inputs" sheetId="26" r:id="rId22"/>
    <sheet name="WP08 Tax Rates" sheetId="32" r:id="rId23"/>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5">'[3]DPLG-APRIL2001-TRANSCHECKOUT'!$AC$2:$AC$10</definedName>
    <definedName name="___OFF2">'[4]DPLG-APRIL2001-TRANSCHECKOUT'!$AC$2:$AC$10</definedName>
    <definedName name="___PPP1" localSheetId="15">'[3]DPLG-APRIL2001-TRANSCHECKOUT'!$A$1:$D$27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5" hidden="1">'[5]AL2 151'!#REF!</definedName>
    <definedName name="__123Graph_A" hidden="1">'[5]AL2 151'!#REF!</definedName>
    <definedName name="__123Graph_B" localSheetId="15" hidden="1">'[5]AL2 151'!#REF!</definedName>
    <definedName name="__123Graph_B" hidden="1">'[5]AL2 151'!#REF!</definedName>
    <definedName name="__123Graph_C" localSheetId="15" hidden="1">'[5]AL2 151'!#REF!</definedName>
    <definedName name="__123Graph_C" hidden="1">'[5]AL2 151'!#REF!</definedName>
    <definedName name="__123Graph_D" localSheetId="15"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5"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5">'[3]DPLG-APRIL2001-TRANSCHECKOUT'!$AC$2:$AC$10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9">#REF!</definedName>
    <definedName name="_p.choice" localSheetId="11">#REF!</definedName>
    <definedName name="_p.choice" localSheetId="14">#REF!</definedName>
    <definedName name="_p.choice" localSheetId="20">#REF!</definedName>
    <definedName name="_p.choice" localSheetId="21">#REF!</definedName>
    <definedName name="_p.choice">#REF!</definedName>
    <definedName name="_Parse_In" hidden="1">#REF!</definedName>
    <definedName name="_Parse_Out" hidden="1">#REF!</definedName>
    <definedName name="_PPP1" localSheetId="15">'[3]DPLG-APRIL2001-TRANSCHECKOUT'!$A$1:$D$27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5"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9">#REF!</definedName>
    <definedName name="AA.print" localSheetId="11">#REF!</definedName>
    <definedName name="AA.print" localSheetId="14">#REF!</definedName>
    <definedName name="AA.print" localSheetId="20">#REF!</definedName>
    <definedName name="AA.print" localSheetId="21">#REF!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9">#REF!</definedName>
    <definedName name="AB.print" localSheetId="11">#REF!</definedName>
    <definedName name="AB.print" localSheetId="14">#REF!</definedName>
    <definedName name="AB.print" localSheetId="21">#REF!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5">'[17]Appendix A'!$H$29</definedName>
    <definedName name="Allocator.gross.plant">'[18]Appendix A'!$H$29</definedName>
    <definedName name="Allocator.net.plant" localSheetId="15">'[17]Appendix A'!$H$32</definedName>
    <definedName name="Allocator.net.plant">'[18]Appendix A'!$H$32</definedName>
    <definedName name="Allocator.wages.salary" localSheetId="15">'[17]Appendix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9">#REF!</definedName>
    <definedName name="AMHERST" localSheetId="11">#REF!</definedName>
    <definedName name="AMHERST" localSheetId="14">#REF!</definedName>
    <definedName name="AMHERST" localSheetId="21">#REF!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9">#REF!</definedName>
    <definedName name="AO.print" localSheetId="11">#REF!</definedName>
    <definedName name="AO.print" localSheetId="14">#REF!</definedName>
    <definedName name="AO.print" localSheetId="21">#REF!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9">#REF!</definedName>
    <definedName name="AV.FM.1..adjusted..print" localSheetId="11">#REF!</definedName>
    <definedName name="AV.FM.1..adjusted..print" localSheetId="14">#REF!</definedName>
    <definedName name="AV.FM.1..adjusted..print" localSheetId="21">#REF!</definedName>
    <definedName name="AV.FM.1..adjusted..print">#REF!</definedName>
    <definedName name="AV.FM.1.print" localSheetId="2">#REF!</definedName>
    <definedName name="AV.FM.1.print" localSheetId="3">#REF!</definedName>
    <definedName name="AV.FM.1.print" localSheetId="8">#REF!</definedName>
    <definedName name="AV.FM.1.print" localSheetId="9">#REF!</definedName>
    <definedName name="AV.FM.1.print" localSheetId="11">#REF!</definedName>
    <definedName name="AV.FM.1.print" localSheetId="14">#REF!</definedName>
    <definedName name="AV.FM.1.print" localSheetId="21">#REF!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9">#REF!</definedName>
    <definedName name="BA.print" localSheetId="11">#REF!</definedName>
    <definedName name="BA.print" localSheetId="14">#REF!</definedName>
    <definedName name="BA.print" localSheetId="21">#REF!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9">#REF!</definedName>
    <definedName name="BB.print" localSheetId="11">#REF!</definedName>
    <definedName name="BB.print" localSheetId="14">#REF!</definedName>
    <definedName name="BB.print" localSheetId="21">#REF!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9">#REF!</definedName>
    <definedName name="BEACH_CITY" localSheetId="11">#REF!</definedName>
    <definedName name="BEACH_CITY" localSheetId="14">#REF!</definedName>
    <definedName name="BEACH_CITY" localSheetId="21">#REF!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9">#REF!</definedName>
    <definedName name="BG.print" localSheetId="11">#REF!</definedName>
    <definedName name="BG.print" localSheetId="14">#REF!</definedName>
    <definedName name="BG.print" localSheetId="21">#REF!</definedName>
    <definedName name="BG.print">#REF!</definedName>
    <definedName name="BGS_Cost_Scenario">[12]Assumptions!$E$33</definedName>
    <definedName name="BGS_RFP">[12]Assumptions!$E$36</definedName>
    <definedName name="BILLCO" localSheetId="15">'[3]DPLG-APRIL2001-TRANSCHECKOUT'!$M$1:$P$65536</definedName>
    <definedName name="BILLCO" localSheetId="20">'[4]DPLG-APRIL2001-TRANSCHECKOUT'!$M:$P</definedName>
    <definedName name="BILLCO" localSheetId="21">'[4]DPLG-APRIL2001-TRANSCHECKOUT'!$M:$P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9">#REF!</definedName>
    <definedName name="BK..FM1.Adjusted..print" localSheetId="11">#REF!</definedName>
    <definedName name="BK..FM1.Adjusted..print" localSheetId="14">#REF!</definedName>
    <definedName name="BK..FM1.Adjusted..print" localSheetId="20">#REF!</definedName>
    <definedName name="BK..FM1.Adjusted..print" localSheetId="21">#REF!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9">#REF!</definedName>
    <definedName name="BK..FM1.ROR..print" localSheetId="11">#REF!</definedName>
    <definedName name="BK..FM1.ROR..print" localSheetId="14">#REF!</definedName>
    <definedName name="BK..FM1.ROR..print" localSheetId="21">#REF!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9">#REF!</definedName>
    <definedName name="BowlingGreen" localSheetId="11">#REF!</definedName>
    <definedName name="BowlingGreen" localSheetId="14">#REF!</definedName>
    <definedName name="BowlingGreen" localSheetId="21">#REF!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9">#REF!</definedName>
    <definedName name="BowlingGreenWater" localSheetId="11">#REF!</definedName>
    <definedName name="BowlingGreenWater" localSheetId="14">#REF!</definedName>
    <definedName name="BowlingGreenWater" localSheetId="21">#REF!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9">#REF!</definedName>
    <definedName name="Bradner" localSheetId="11">#REF!</definedName>
    <definedName name="Bradner" localSheetId="14">#REF!</definedName>
    <definedName name="Bradner" localSheetId="21">#REF!</definedName>
    <definedName name="Bradner">#REF!</definedName>
    <definedName name="BREWSTER" localSheetId="2">#REF!</definedName>
    <definedName name="BREWSTER" localSheetId="3">#REF!</definedName>
    <definedName name="BREWSTER" localSheetId="8">#REF!</definedName>
    <definedName name="BREWSTER" localSheetId="9">#REF!</definedName>
    <definedName name="BREWSTER" localSheetId="11">#REF!</definedName>
    <definedName name="BREWSTER" localSheetId="14">#REF!</definedName>
    <definedName name="BREWSTER" localSheetId="21">#REF!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9">#REF!</definedName>
    <definedName name="CH_COS" localSheetId="11">#REF!</definedName>
    <definedName name="CH_COS" localSheetId="14">#REF!</definedName>
    <definedName name="CH_COS" localSheetId="21">#REF!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9">#REF!</definedName>
    <definedName name="CUSTAR" localSheetId="11">#REF!</definedName>
    <definedName name="CUSTAR" localSheetId="14">#REF!</definedName>
    <definedName name="CUSTAR" localSheetId="21">#REF!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9">#REF!</definedName>
    <definedName name="CUYAHOGA_FALLS" localSheetId="11">#REF!</definedName>
    <definedName name="CUYAHOGA_FALLS" localSheetId="14">#REF!</definedName>
    <definedName name="CUYAHOGA_FALLS" localSheetId="21">#REF!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5">'[17]Appendix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5">'[3]DPLG-APRIL2001-TRANSCHECKOUT'!$Q$1:$R$65536</definedName>
    <definedName name="DUEDATE" localSheetId="20">'[4]DPLG-APRIL2001-TRANSCHECKOUT'!$Q:$R</definedName>
    <definedName name="DUEDATE" localSheetId="21">'[4]DPLG-APRIL2001-TRANSCHECKOUT'!$Q:$R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9">#REF!</definedName>
    <definedName name="EDGERTON" localSheetId="11">#REF!</definedName>
    <definedName name="EDGERTON" localSheetId="14">#REF!</definedName>
    <definedName name="EDGERTON" localSheetId="21">#REF!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9">#REF!</definedName>
    <definedName name="Ellwood_City" localSheetId="11">#REF!</definedName>
    <definedName name="Ellwood_City" localSheetId="14">#REF!</definedName>
    <definedName name="Ellwood_City" localSheetId="21">#REF!</definedName>
    <definedName name="Ellwood_City">#REF!</definedName>
    <definedName name="ELMORE" localSheetId="2">#REF!</definedName>
    <definedName name="ELMORE" localSheetId="3">#REF!</definedName>
    <definedName name="ELMORE" localSheetId="8">#REF!</definedName>
    <definedName name="ELMORE" localSheetId="9">#REF!</definedName>
    <definedName name="ELMORE" localSheetId="11">#REF!</definedName>
    <definedName name="ELMORE" localSheetId="14">#REF!</definedName>
    <definedName name="ELMORE" localSheetId="21">#REF!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5">'[17]FERC Form 1 data'!$B$7:$L$87</definedName>
    <definedName name="FF1_INPUT">'[18]FERC Form 1 data'!$B$7:$L$87</definedName>
    <definedName name="FF1_INPUT_columns" localSheetId="15">'[17]FERC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9">#REF!</definedName>
    <definedName name="GALION" localSheetId="11">#REF!</definedName>
    <definedName name="GALION" localSheetId="14">#REF!</definedName>
    <definedName name="GALION" localSheetId="21">#REF!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9">#REF!</definedName>
    <definedName name="GENOA" localSheetId="11">#REF!</definedName>
    <definedName name="GENOA" localSheetId="14">#REF!</definedName>
    <definedName name="GENOA" localSheetId="21">#REF!</definedName>
    <definedName name="GENOA">#REF!</definedName>
    <definedName name="GENOA_NORTH" localSheetId="2">#REF!</definedName>
    <definedName name="GENOA_NORTH" localSheetId="3">#REF!</definedName>
    <definedName name="GENOA_NORTH" localSheetId="8">#REF!</definedName>
    <definedName name="GENOA_NORTH" localSheetId="9">#REF!</definedName>
    <definedName name="GENOA_NORTH" localSheetId="11">#REF!</definedName>
    <definedName name="GENOA_NORTH" localSheetId="14">#REF!</definedName>
    <definedName name="GENOA_NORTH" localSheetId="21">#REF!</definedName>
    <definedName name="GENOA_NORTH">#REF!</definedName>
    <definedName name="GENOA_SOUTH" localSheetId="2">#REF!</definedName>
    <definedName name="GENOA_SOUTH" localSheetId="3">#REF!</definedName>
    <definedName name="GENOA_SOUTH" localSheetId="8">#REF!</definedName>
    <definedName name="GENOA_SOUTH" localSheetId="9">#REF!</definedName>
    <definedName name="GENOA_SOUTH" localSheetId="11">#REF!</definedName>
    <definedName name="GENOA_SOUTH" localSheetId="14">#REF!</definedName>
    <definedName name="GENOA_SOUTH" localSheetId="21">#REF!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9">#REF!</definedName>
    <definedName name="GRAFTON" localSheetId="11">#REF!</definedName>
    <definedName name="GRAFTON" localSheetId="14">#REF!</definedName>
    <definedName name="GRAFTON" localSheetId="21">#REF!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9">#REF!</definedName>
    <definedName name="Grove_City" localSheetId="11">#REF!</definedName>
    <definedName name="Grove_City" localSheetId="14">#REF!</definedName>
    <definedName name="Grove_City" localSheetId="21">#REF!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9">#REF!</definedName>
    <definedName name="HASKINS" localSheetId="11">#REF!</definedName>
    <definedName name="HASKINS" localSheetId="14">#REF!</definedName>
    <definedName name="HASKINS" localSheetId="21">#REF!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9">#REF!</definedName>
    <definedName name="hourending" localSheetId="11">#REF!</definedName>
    <definedName name="hourending" localSheetId="14">#REF!</definedName>
    <definedName name="hourending" localSheetId="21">#REF!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9">#REF!</definedName>
    <definedName name="HUBBARD" localSheetId="11">#REF!</definedName>
    <definedName name="HUBBARD" localSheetId="14">#REF!</definedName>
    <definedName name="HUBBARD" localSheetId="21">#REF!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5">[17]Inputs!$E$15:$E$72</definedName>
    <definedName name="Inputs_EndYrBal">[18]Inputs!$E$15:$E$72</definedName>
    <definedName name="Inputs_EndYrBal_prior" localSheetId="15">[17]Inputs!$D$15:$D$72</definedName>
    <definedName name="Inputs_EndYrBal_prior">[18]Inputs!$D$15:$D$72</definedName>
    <definedName name="Inputs_FF1_Map" localSheetId="15">[17]Inputs!$F$15:$F$72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9">#REF!</definedName>
    <definedName name="Levelized..FM1.ROR..print" localSheetId="11">#REF!</definedName>
    <definedName name="Levelized..FM1.ROR..print" localSheetId="14">#REF!</definedName>
    <definedName name="Levelized..FM1.ROR..print" localSheetId="21">#REF!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9">#REF!</definedName>
    <definedName name="LODI" localSheetId="11">#REF!</definedName>
    <definedName name="LODI" localSheetId="14">#REF!</definedName>
    <definedName name="LODI" localSheetId="21">#REF!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9">#REF!</definedName>
    <definedName name="LUCAS" localSheetId="11">#REF!</definedName>
    <definedName name="LUCAS" localSheetId="14">#REF!</definedName>
    <definedName name="LUCAS" localSheetId="21">#REF!</definedName>
    <definedName name="LUCAS">#REF!</definedName>
    <definedName name="M21Laurie" localSheetId="2">#N/A</definedName>
    <definedName name="M21Laurie" localSheetId="3">#N/A</definedName>
    <definedName name="M21Laurie" localSheetId="8">#N/A</definedName>
    <definedName name="M21Laurie" localSheetId="9">'Appendix G-Inc Tax Adj'!M21Laurie</definedName>
    <definedName name="M21Laurie" localSheetId="14">#N/A</definedName>
    <definedName name="M21Laurie" localSheetId="15">#N/A</definedName>
    <definedName name="M21Laurie" localSheetId="20">'WP07 Stated-value Inputs'!M21Laurie</definedName>
    <definedName name="M21Laurie" localSheetId="21">'WP08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9">#REF!</definedName>
    <definedName name="MILAN" localSheetId="11">#REF!</definedName>
    <definedName name="MILAN" localSheetId="14">#REF!</definedName>
    <definedName name="MILAN" localSheetId="21">#REF!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9">#REF!</definedName>
    <definedName name="MONROEVILLE" localSheetId="11">#REF!</definedName>
    <definedName name="MONROEVILLE" localSheetId="14">#REF!</definedName>
    <definedName name="MONROEVILLE" localSheetId="21">#REF!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9">#REF!</definedName>
    <definedName name="NAPOLEON" localSheetId="11">#REF!</definedName>
    <definedName name="NAPOLEON" localSheetId="14">#REF!</definedName>
    <definedName name="NAPOLEON" localSheetId="21">#REF!</definedName>
    <definedName name="NAPOLEON">#REF!</definedName>
    <definedName name="NEASG" localSheetId="2">#REF!</definedName>
    <definedName name="NEASG" localSheetId="3">#REF!</definedName>
    <definedName name="NEASG" localSheetId="8">#REF!</definedName>
    <definedName name="NEASG" localSheetId="9">#REF!</definedName>
    <definedName name="NEASG" localSheetId="11">#REF!</definedName>
    <definedName name="NEASG" localSheetId="14">#REF!</definedName>
    <definedName name="NEASG" localSheetId="21">#REF!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9">#REF!</definedName>
    <definedName name="New_Wilmington" localSheetId="11">#REF!</definedName>
    <definedName name="New_Wilmington" localSheetId="14">#REF!</definedName>
    <definedName name="New_Wilmington" localSheetId="21">#REF!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9">#REF!</definedName>
    <definedName name="NEWTON_FALLS" localSheetId="11">#REF!</definedName>
    <definedName name="NEWTON_FALLS" localSheetId="14">#REF!</definedName>
    <definedName name="NEWTON_FALLS" localSheetId="21">#REF!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9">#REF!</definedName>
    <definedName name="NILES" localSheetId="11">#REF!</definedName>
    <definedName name="NILES" localSheetId="14">#REF!</definedName>
    <definedName name="NILES" localSheetId="21">#REF!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9">#REF!</definedName>
    <definedName name="NSP_COS" localSheetId="11">#REF!</definedName>
    <definedName name="NSP_COS" localSheetId="14">#REF!</definedName>
    <definedName name="NSP_COS" localSheetId="21">#REF!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9">#REF!</definedName>
    <definedName name="NWASG" localSheetId="11">#REF!</definedName>
    <definedName name="NWASG" localSheetId="14">#REF!</definedName>
    <definedName name="NWASG" localSheetId="21">#REF!</definedName>
    <definedName name="NWASG">#REF!</definedName>
    <definedName name="OAK_HARBOR" localSheetId="2">#REF!</definedName>
    <definedName name="OAK_HARBOR" localSheetId="3">#REF!</definedName>
    <definedName name="OAK_HARBOR" localSheetId="8">#REF!</definedName>
    <definedName name="OAK_HARBOR" localSheetId="9">#REF!</definedName>
    <definedName name="OAK_HARBOR" localSheetId="11">#REF!</definedName>
    <definedName name="OAK_HARBOR" localSheetId="14">#REF!</definedName>
    <definedName name="OAK_HARBOR" localSheetId="21">#REF!</definedName>
    <definedName name="OAK_HARBOR">#REF!</definedName>
    <definedName name="OBERLIN" localSheetId="2">#REF!</definedName>
    <definedName name="OBERLIN" localSheetId="3">#REF!</definedName>
    <definedName name="OBERLIN" localSheetId="8">#REF!</definedName>
    <definedName name="OBERLIN" localSheetId="9">#REF!</definedName>
    <definedName name="OBERLIN" localSheetId="11">#REF!</definedName>
    <definedName name="OBERLIN" localSheetId="14">#REF!</definedName>
    <definedName name="OBERLIN" localSheetId="21">#REF!</definedName>
    <definedName name="OBERLIN">#REF!</definedName>
    <definedName name="OFF" localSheetId="15">'[3]DPLG-APRIL2001-TRANSCHECKOUT'!$F$2:$L$10</definedName>
    <definedName name="OFF">'[4]DPLG-APRIL2001-TRANSCHECKOUT'!$F$2:$L$10</definedName>
    <definedName name="ok">"46A77S0J3A6DMSOD9MQSK0ZYO"</definedName>
    <definedName name="ON" localSheetId="15">'[3]DPLG-APRIL2001-TRANSCHECKOUT'!$M$2:$AC$10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9">#REF!</definedName>
    <definedName name="PEMBERVILLE" localSheetId="11">#REF!</definedName>
    <definedName name="PEMBERVILLE" localSheetId="14">#REF!</definedName>
    <definedName name="PEMBERVILLE" localSheetId="21">#REF!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9">#REF!</definedName>
    <definedName name="PIONEER" localSheetId="11">#REF!</definedName>
    <definedName name="PIONEER" localSheetId="14">#REF!</definedName>
    <definedName name="PIONEER" localSheetId="21">#REF!</definedName>
    <definedName name="PIONEER">#REF!</definedName>
    <definedName name="post_fossil">[25]Assumptions!$E$59</definedName>
    <definedName name="PPA">[12]Assumptions!$E$38</definedName>
    <definedName name="PPLT">'[13]C. Input'!$F$152</definedName>
    <definedName name="pPRINT" localSheetId="15">'[3]DPLG-APRIL2001-TRANSCHECKOUT'!$A$1:$I$49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5">'[3]DPLG-APRIL2001-TRANSCHECKOUT'!$A$2:$K$55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9">#REF!</definedName>
    <definedName name="Print.selection.print" localSheetId="11">#REF!</definedName>
    <definedName name="Print.selection.print" localSheetId="14">#REF!</definedName>
    <definedName name="Print.selection.print" localSheetId="20">#REF!</definedName>
    <definedName name="Print.selection.print" localSheetId="21">#REF!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D-TEC'!$A$1:$O$83</definedName>
    <definedName name="_xlnm.Print_Area" localSheetId="5">'Appendix D-True-up'!$A$1:$M$44</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0">'Appendix G(1) - Excess_Def ADIT'!$A$1:$J$70</definedName>
    <definedName name="_xlnm.Print_Area" localSheetId="9">'Appendix G-Inc Tax Adj'!$A$1:$G$28</definedName>
    <definedName name="_xlnm.Print_Area" localSheetId="11">'Appendix H-Rev Req True-up Adj'!$A$1:$J$55</definedName>
    <definedName name="_xlnm.Print_Area" localSheetId="0">'Attachment H-21-A ATSI '!$A$1:$K$323</definedName>
    <definedName name="_xlnm.Print_Area" localSheetId="14">'WP03 ADIT'!$A$1:$N$69</definedName>
    <definedName name="_xlnm.Print_Area" localSheetId="15">'WP03-A ADIT Norm'!$A$1:$M$52</definedName>
    <definedName name="_xlnm.Print_Area" localSheetId="17">'WP04 Other RB'!$A$1:$K$32</definedName>
    <definedName name="_xlnm.Print_Area" localSheetId="18">'WP05 Other Tax'!$A$1:$D$37</definedName>
    <definedName name="_xlnm.Print_Area" localSheetId="21">'WP08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9">#REF!</definedName>
    <definedName name="Print1" localSheetId="11">#REF!</definedName>
    <definedName name="Print1" localSheetId="14">#REF!</definedName>
    <definedName name="Print1" localSheetId="21">#REF!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9">#REF!</definedName>
    <definedName name="Print3" localSheetId="11">#REF!</definedName>
    <definedName name="Print3" localSheetId="14">#REF!</definedName>
    <definedName name="Print3" localSheetId="21">#REF!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9">#REF!</definedName>
    <definedName name="Print4" localSheetId="11">#REF!</definedName>
    <definedName name="Print4" localSheetId="14">#REF!</definedName>
    <definedName name="Print4" localSheetId="21">#REF!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9">#REF!</definedName>
    <definedName name="Print5" localSheetId="11">#REF!</definedName>
    <definedName name="Print5" localSheetId="14">#REF!</definedName>
    <definedName name="Print5" localSheetId="21">#REF!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5">'[58]Final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9">#REF!</definedName>
    <definedName name="ProjIDList" localSheetId="11">#REF!</definedName>
    <definedName name="ProjIDList" localSheetId="14">#REF!</definedName>
    <definedName name="ProjIDList" localSheetId="21">#REF!</definedName>
    <definedName name="ProjIDList">#REF!</definedName>
    <definedName name="PROSPECT" localSheetId="2">#REF!</definedName>
    <definedName name="PROSPECT" localSheetId="3">#REF!</definedName>
    <definedName name="PROSPECT" localSheetId="8">#REF!</definedName>
    <definedName name="PROSPECT" localSheetId="9">#REF!</definedName>
    <definedName name="PROSPECT" localSheetId="11">#REF!</definedName>
    <definedName name="PROSPECT" localSheetId="14">#REF!</definedName>
    <definedName name="PROSPECT" localSheetId="21">#REF!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9">#REF!</definedName>
    <definedName name="PSCo_COS" localSheetId="11">#REF!</definedName>
    <definedName name="PSCo_COS" localSheetId="14">#REF!</definedName>
    <definedName name="PSCo_COS" localSheetId="21">#REF!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9">#REF!</definedName>
    <definedName name="q_MTEP06_App_AB_Facility" localSheetId="11">#REF!</definedName>
    <definedName name="q_MTEP06_App_AB_Facility" localSheetId="14">#REF!</definedName>
    <definedName name="q_MTEP06_App_AB_Facility" localSheetId="21">#REF!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9">#REF!</definedName>
    <definedName name="q_MTEP06_App_AB_Projects" localSheetId="11">#REF!</definedName>
    <definedName name="q_MTEP06_App_AB_Projects" localSheetId="14">#REF!</definedName>
    <definedName name="q_MTEP06_App_AB_Projects" localSheetId="21">#REF!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9">#REF!</definedName>
    <definedName name="revreq" localSheetId="11">#REF!</definedName>
    <definedName name="revreq" localSheetId="14">#REF!</definedName>
    <definedName name="revreq" localSheetId="21">#REF!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9">#REF!</definedName>
    <definedName name="SEVILLE" localSheetId="11">#REF!</definedName>
    <definedName name="SEVILLE" localSheetId="14">#REF!</definedName>
    <definedName name="SEVILLE" localSheetId="21">#REF!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9">#REF!</definedName>
    <definedName name="SOUTH_VIENNA" localSheetId="11">#REF!</definedName>
    <definedName name="SOUTH_VIENNA" localSheetId="14">#REF!</definedName>
    <definedName name="SOUTH_VIENNA" localSheetId="21">#REF!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9">#REF!</definedName>
    <definedName name="SPS_COS" localSheetId="11">#REF!</definedName>
    <definedName name="SPS_COS" localSheetId="14">#REF!</definedName>
    <definedName name="SPS_COS" localSheetId="21">#REF!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5">Projection</definedName>
    <definedName name="Toggle">Projection</definedName>
    <definedName name="Toggle.list" localSheetId="15">'[17]Appendix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9">#REF!</definedName>
    <definedName name="TOTAL_COLUMBIANA" localSheetId="11">#REF!</definedName>
    <definedName name="TOTAL_COLUMBIANA" localSheetId="14">#REF!</definedName>
    <definedName name="TOTAL_COLUMBIANA" localSheetId="21">#REF!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9">#REF!</definedName>
    <definedName name="Total_Grove_City" localSheetId="11">#REF!</definedName>
    <definedName name="Total_Grove_City" localSheetId="14">#REF!</definedName>
    <definedName name="Total_Grove_City" localSheetId="21">#REF!</definedName>
    <definedName name="Total_Grove_City">#REF!</definedName>
    <definedName name="TOTAL_HUDSON" localSheetId="2">#REF!</definedName>
    <definedName name="TOTAL_HUDSON" localSheetId="3">#REF!</definedName>
    <definedName name="TOTAL_HUDSON" localSheetId="8">#REF!</definedName>
    <definedName name="TOTAL_HUDSON" localSheetId="9">#REF!</definedName>
    <definedName name="TOTAL_HUDSON" localSheetId="11">#REF!</definedName>
    <definedName name="TOTAL_HUDSON" localSheetId="14">#REF!</definedName>
    <definedName name="TOTAL_HUDSON" localSheetId="21">#REF!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9">#REF!</definedName>
    <definedName name="TOTAL_MONTPELIER" localSheetId="11">#REF!</definedName>
    <definedName name="TOTAL_MONTPELIER" localSheetId="14">#REF!</definedName>
    <definedName name="TOTAL_MONTPELIER" localSheetId="21">#REF!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9">#REF!</definedName>
    <definedName name="TOTAL_WOODVILLE" localSheetId="11">#REF!</definedName>
    <definedName name="TOTAL_WOODVILLE" localSheetId="14">#REF!</definedName>
    <definedName name="TOTAL_WOODVILLE" localSheetId="21">#REF!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5">'[17]Appendix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9">#REF!</definedName>
    <definedName name="WADSWORTH" localSheetId="11">#REF!</definedName>
    <definedName name="WADSWORTH" localSheetId="14">#REF!</definedName>
    <definedName name="WADSWORTH" localSheetId="21">#REF!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9">#REF!</definedName>
    <definedName name="WELLINGTON" localSheetId="11">#REF!</definedName>
    <definedName name="WELLINGTON" localSheetId="14">#REF!</definedName>
    <definedName name="WELLINGTON" localSheetId="21">#REF!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5"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9">'[69]Data Entry and Forecaster'!#REF!</definedName>
    <definedName name="Xcel" localSheetId="11">'[69]Data Entry and Forecaster'!#REF!</definedName>
    <definedName name="Xcel" localSheetId="13">'[69]Data Entry and Forecaster'!#REF!</definedName>
    <definedName name="Xcel" localSheetId="14">'[69]Data Entry and Forecaster'!#REF!</definedName>
    <definedName name="Xcel" localSheetId="17">'[69]Data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9">#REF!</definedName>
    <definedName name="Xcel_COS" localSheetId="11">#REF!</definedName>
    <definedName name="Xcel_COS" localSheetId="14">#REF!</definedName>
    <definedName name="Xcel_COS" localSheetId="21">#REF!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D-TEC'!$A$1:$O$83</definedName>
    <definedName name="Z_E1861F40_EBD5_44AE_868B_FDE0ED504D72_.wvu.PrintArea" localSheetId="5" hidden="1">'Appendix D-True-up'!$A$1:$L$44</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workbook>
</file>

<file path=xl/calcChain.xml><?xml version="1.0" encoding="utf-8"?>
<calcChain xmlns="http://schemas.openxmlformats.org/spreadsheetml/2006/main">
  <c r="D299" i="1" l="1"/>
</calcChain>
</file>

<file path=xl/sharedStrings.xml><?xml version="1.0" encoding="utf-8"?>
<sst xmlns="http://schemas.openxmlformats.org/spreadsheetml/2006/main" count="1793" uniqueCount="952">
  <si>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</si>
  <si>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</si>
  <si>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</si>
  <si>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</si>
  <si>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</si>
  <si>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</si>
  <si>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</si>
  <si>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</si>
  <si>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</si>
  <si>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</si>
  <si>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</si>
  <si>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</si>
  <si>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</si>
  <si>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</si>
  <si>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</si>
  <si>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</si>
  <si>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</si>
  <si>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</si>
  <si>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</si>
  <si>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</si>
  <si>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</si>
  <si>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</si>
  <si>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</si>
  <si>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</si>
  <si>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</si>
  <si>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</si>
  <si>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</si>
  <si>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</si>
  <si>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</si>
  <si>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</si>
  <si>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</si>
  <si>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</si>
  <si>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</si>
  <si>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</si>
  <si>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</si>
  <si>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</si>
  <si>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</si>
  <si>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</si>
  <si>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</si>
  <si>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</si>
  <si>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</si>
  <si>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</si>
  <si>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</si>
  <si>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</si>
  <si>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</si>
  <si>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</si>
  <si>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</si>
  <si>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</si>
  <si>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</si>
  <si>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</si>
  <si>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</si>
  <si>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</si>
  <si>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</si>
  <si>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</si>
  <si>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</si>
  <si>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</si>
  <si>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</si>
  <si>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</si>
  <si>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</si>
  <si>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</si>
  <si>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</si>
  <si>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</si>
  <si>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</si>
  <si>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</si>
  <si>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</si>
  <si>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</si>
  <si>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</si>
  <si>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</si>
  <si>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</si>
  <si>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</si>
  <si>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</si>
  <si>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</si>
  <si>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</si>
  <si>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</si>
  <si>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</si>
  <si>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</si>
  <si>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</si>
  <si>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</si>
  <si>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</si>
  <si>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</si>
  <si>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</si>
  <si>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</si>
  <si>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</si>
  <si>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</si>
  <si>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</si>
  <si>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</si>
  <si>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</si>
  <si>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</si>
  <si>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</si>
  <si>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</si>
  <si>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</si>
  <si>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</si>
  <si>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</si>
  <si>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</si>
  <si>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</si>
  <si>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</si>
  <si>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</si>
  <si>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</si>
  <si>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</si>
  <si>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</si>
  <si>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</si>
  <si>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</si>
  <si>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</si>
  <si>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</si>
  <si>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</si>
  <si>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</si>
  <si>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</si>
  <si>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</si>
  <si>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</si>
  <si>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</si>
  <si>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</si>
  <si>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</si>
  <si>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</si>
  <si>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</si>
  <si>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</si>
  <si>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</si>
  <si>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</si>
  <si>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</si>
  <si>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</si>
  <si>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</si>
  <si>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</si>
  <si>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</si>
  <si>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</si>
  <si>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</si>
  <si>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</si>
  <si>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</si>
  <si>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</si>
  <si>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</si>
  <si>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</si>
  <si>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</si>
  <si>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</si>
  <si>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</si>
  <si>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</si>
  <si>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</si>
  <si>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</si>
  <si>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</si>
  <si>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</si>
  <si>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</si>
  <si>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</si>
  <si>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</si>
  <si>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</si>
  <si>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</si>
  <si>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</si>
  <si>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</si>
  <si>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</si>
  <si>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</si>
  <si>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</si>
  <si>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</si>
  <si>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</si>
  <si>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</si>
  <si>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</si>
  <si>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</si>
  <si>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</si>
  <si>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</si>
  <si>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</si>
  <si>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</si>
  <si>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</si>
  <si>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</si>
  <si>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</si>
  <si>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</si>
  <si>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</si>
  <si>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</si>
  <si>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</si>
  <si>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</si>
  <si>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</si>
  <si>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</si>
  <si>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</si>
  <si>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</si>
  <si>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</si>
  <si>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</si>
  <si>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</si>
  <si>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</si>
  <si>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</si>
  <si>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</si>
  <si>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</si>
  <si>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</si>
  <si>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</si>
  <si>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</si>
  <si>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</si>
  <si>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</si>
  <si>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</si>
  <si>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</si>
  <si>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</si>
  <si>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</si>
  <si>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</si>
  <si>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</si>
  <si>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</si>
  <si>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</si>
  <si>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</si>
  <si>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</si>
  <si>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</si>
  <si>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</si>
  <si>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</si>
  <si>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</si>
  <si>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ADJUSTMENTS TO RATE BASE  (Note F)</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</si>
  <si>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</si>
  <si>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</si>
  <si>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</si>
  <si>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</si>
  <si>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</si>
  <si>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</si>
  <si>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</si>
  <si>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</si>
  <si>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</si>
  <si>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</si>
  <si>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</si>
  <si>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</si>
  <si>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</si>
  <si>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</si>
  <si>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</si>
  <si>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</si>
  <si>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</si>
  <si>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</si>
  <si>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</si>
  <si>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</si>
  <si>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</si>
  <si>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</si>
  <si>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</si>
  <si>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</si>
  <si>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</si>
  <si>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</si>
  <si>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</si>
  <si>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</si>
  <si>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</si>
  <si>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</si>
  <si>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</si>
  <si>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</si>
  <si>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</si>
  <si>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</si>
  <si>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</si>
  <si>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</si>
  <si>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</si>
  <si>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</si>
  <si>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</si>
  <si>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</si>
  <si>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</si>
  <si>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</si>
  <si>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</si>
  <si>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</si>
  <si>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</si>
  <si>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</si>
  <si>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</si>
  <si>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</si>
  <si>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</si>
  <si>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</si>
  <si>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</si>
  <si>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</si>
  <si>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</si>
  <si>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</si>
  <si>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</si>
  <si>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</si>
  <si>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</si>
  <si>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</si>
  <si>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</si>
  <si>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</si>
  <si>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</si>
  <si>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</si>
  <si>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</si>
  <si>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</si>
  <si>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</si>
  <si>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</si>
  <si>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</si>
  <si>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</si>
  <si>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</si>
  <si>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</si>
  <si>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</si>
  <si>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</si>
  <si>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</si>
  <si>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</si>
  <si>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</si>
  <si>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</si>
  <si>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</si>
  <si>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</si>
  <si>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</si>
  <si>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</si>
  <si>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</si>
  <si>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</si>
  <si>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</si>
  <si>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</si>
  <si>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</si>
  <si>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</si>
  <si>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</si>
  <si>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</si>
  <si>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</si>
  <si>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</si>
  <si>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</si>
  <si>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</si>
  <si>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</si>
  <si>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</si>
  <si>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</si>
  <si>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</si>
  <si>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</si>
  <si>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</si>
  <si>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</si>
  <si>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</si>
  <si>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</si>
  <si>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</si>
  <si>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</si>
  <si>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</si>
  <si>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</si>
  <si>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</si>
  <si>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</si>
  <si>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</si>
  <si>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</si>
  <si>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</si>
  <si>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</si>
  <si>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</si>
  <si>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</si>
  <si>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</si>
  <si>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</si>
  <si>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</si>
  <si>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</si>
  <si>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</si>
  <si>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</si>
  <si>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</si>
  <si>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</si>
  <si>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</si>
  <si>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</si>
  <si>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</si>
  <si>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</si>
  <si>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</si>
  <si>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</si>
  <si>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</si>
  <si>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</si>
  <si>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</si>
  <si>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</si>
  <si>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</si>
  <si>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</si>
  <si>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</si>
  <si>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</si>
  <si>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</si>
  <si>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</si>
  <si>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</si>
  <si>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</si>
  <si>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</si>
  <si>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</si>
  <si>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</si>
  <si>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</si>
  <si>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</si>
  <si>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</si>
  <si>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</si>
  <si>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</si>
  <si>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</si>
  <si>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</si>
  <si>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</si>
  <si>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</si>
  <si>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</si>
  <si>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</si>
  <si>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</si>
  <si>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</si>
  <si>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</si>
  <si>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</si>
  <si>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</si>
  <si>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</si>
  <si>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</si>
  <si>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</si>
  <si>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</si>
  <si>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</si>
  <si>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</si>
  <si>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</si>
  <si>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</si>
  <si>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</si>
  <si>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</si>
  <si>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</si>
  <si>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</si>
  <si>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</si>
  <si>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</si>
  <si>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</si>
  <si>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</si>
  <si>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</si>
  <si>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</si>
  <si>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</si>
  <si>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</si>
  <si>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</si>
  <si>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</si>
  <si>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</si>
  <si>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</si>
  <si>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</si>
  <si>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</si>
  <si>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</si>
  <si>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</si>
  <si>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</si>
  <si>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</si>
  <si>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</si>
  <si>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</si>
  <si>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</si>
  <si>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</si>
  <si>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</si>
  <si>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</si>
  <si>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</si>
  <si>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</si>
  <si>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</si>
  <si>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</si>
  <si>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</si>
  <si>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</si>
  <si>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</si>
  <si>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</si>
  <si>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</si>
  <si>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</si>
  <si>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</si>
  <si>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</si>
  <si>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</si>
  <si>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</si>
  <si>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</si>
  <si>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</si>
  <si>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</si>
  <si>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</si>
  <si>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</si>
  <si>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</si>
  <si>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</si>
  <si>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</si>
  <si>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</si>
  <si>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</si>
  <si>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</si>
  <si>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</si>
  <si>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</si>
  <si>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</si>
  <si>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</si>
  <si>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</si>
  <si>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</si>
  <si>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</si>
  <si>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</si>
  <si>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</si>
  <si>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</si>
  <si>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</si>
  <si>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</si>
  <si>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</si>
  <si>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</si>
  <si>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</si>
  <si>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</si>
  <si>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</si>
  <si>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</si>
  <si>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</si>
  <si>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</si>
  <si>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</si>
  <si>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</si>
  <si>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</si>
  <si>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</si>
  <si>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</si>
  <si>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</si>
  <si>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</si>
  <si>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</si>
  <si>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</si>
  <si>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</si>
  <si>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</si>
  <si>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</si>
  <si>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</si>
  <si>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</si>
  <si>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</si>
  <si>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</si>
  <si>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</si>
  <si>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</si>
  <si>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</si>
  <si>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</si>
  <si>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</si>
  <si>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</si>
  <si>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</si>
  <si>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</si>
  <si>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</si>
  <si>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</si>
  <si>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</si>
  <si>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</si>
  <si>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</si>
  <si>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</si>
  <si>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</si>
  <si>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</si>
  <si>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</si>
  <si>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</si>
  <si>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</si>
  <si>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</si>
  <si>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</si>
  <si>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</si>
  <si>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</si>
  <si>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</si>
  <si>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</si>
  <si>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</si>
  <si>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</si>
  <si>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</si>
  <si>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</si>
  <si>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</si>
  <si>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</si>
  <si>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</si>
  <si>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</si>
  <si>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</si>
  <si>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</si>
  <si>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</si>
  <si>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</si>
  <si>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</si>
  <si>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</si>
  <si>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</si>
  <si>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</si>
  <si>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</si>
  <si>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</si>
  <si>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</si>
  <si>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</si>
  <si>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</si>
  <si>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</si>
  <si>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</si>
  <si>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</si>
  <si>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</si>
  <si>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</si>
  <si>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</si>
  <si>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</si>
  <si>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</si>
  <si>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</si>
  <si>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</si>
  <si>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</si>
  <si>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</si>
  <si>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</si>
  <si>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</si>
  <si>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</si>
  <si>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</si>
  <si>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</si>
  <si>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</si>
  <si>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</si>
  <si>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</si>
  <si>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</si>
  <si>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</si>
  <si>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</si>
  <si>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</si>
  <si>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</si>
  <si>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</si>
  <si>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</si>
  <si>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</si>
  <si>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</si>
  <si>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</si>
  <si>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</si>
  <si>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</si>
  <si>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</si>
  <si>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</si>
  <si>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</si>
  <si>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</si>
  <si>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</si>
  <si>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</si>
  <si>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</si>
  <si>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</si>
  <si>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</si>
  <si>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</si>
  <si>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</si>
  <si>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</si>
  <si>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</si>
  <si>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</si>
  <si>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</si>
  <si>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</si>
  <si>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</si>
  <si>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</si>
  <si>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</si>
  <si>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</si>
  <si>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</si>
  <si>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</si>
  <si>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</si>
  <si>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</si>
  <si>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</si>
  <si>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</si>
  <si>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</si>
  <si>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</si>
  <si>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</si>
  <si>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</si>
  <si>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</si>
  <si>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</si>
  <si>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</si>
  <si>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</si>
  <si>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</si>
  <si>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</si>
  <si>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</si>
  <si>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</si>
  <si>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</si>
  <si>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</si>
  <si>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</si>
  <si>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</si>
  <si>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</si>
  <si>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</si>
  <si>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</si>
  <si>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</si>
  <si>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</si>
  <si>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</si>
  <si>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</si>
  <si>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</si>
  <si>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</si>
  <si>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</si>
  <si>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</si>
  <si>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</si>
  <si>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</si>
  <si>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</si>
  <si>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</si>
  <si>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</si>
  <si>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</si>
  <si>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</si>
  <si>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</si>
  <si>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</si>
  <si>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</si>
  <si>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</si>
  <si>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</si>
  <si>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</si>
  <si>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</si>
  <si>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</si>
  <si>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</si>
  <si>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</si>
  <si>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</si>
  <si>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</si>
  <si>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</si>
  <si>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</si>
  <si>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</si>
  <si>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</si>
  <si>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</si>
  <si>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</si>
  <si>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</si>
  <si>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</si>
  <si>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</si>
  <si>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</si>
  <si>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</si>
  <si>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</si>
  <si>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</si>
  <si>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</si>
  <si>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</si>
  <si>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</si>
  <si>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</si>
  <si>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</si>
  <si>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</si>
  <si>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</si>
  <si>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</si>
  <si>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</si>
  <si>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</si>
  <si>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</si>
  <si>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</si>
  <si>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</si>
  <si>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</si>
  <si>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</si>
  <si>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</si>
  <si>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</si>
  <si>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</si>
  <si>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</si>
  <si>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</si>
  <si>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</si>
  <si>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</si>
  <si>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</si>
  <si>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</si>
  <si>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</si>
  <si>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</si>
  <si>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</si>
  <si>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</si>
  <si>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</si>
  <si>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</si>
  <si>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Upon enactment of changes in tax law, income tax rates (including changes in apportionment) and other actions taken by a taxing authority, deferred taxes are re-measured and adjusted in the Company's books of account, resulting in excess or deficient accumulated deferred taxes.  Such excess or deficient deferred taxes attributed to the transmission function will be based upon tax records and calculated in the calendar year in which the excess or deficient amount was measured and recorded for financial reporting purposes.</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</si>
  <si>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</si>
  <si>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</si>
  <si>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</si>
  <si>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</si>
  <si>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</si>
  <si>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</si>
  <si>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</si>
  <si>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</si>
  <si>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</si>
  <si>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</si>
  <si>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</si>
  <si>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</si>
  <si>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</si>
  <si>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</si>
  <si>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</si>
  <si>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</si>
  <si>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</si>
  <si>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</si>
  <si>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</si>
  <si>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(Excess)/Deficient ADIT Transmission - Beg Balance of Year
(Note B)</t>
  </si>
  <si>
    <t>Current Period Other Activity
(Note C)</t>
  </si>
  <si>
    <t>Amortization Period 
(Note D)</t>
  </si>
  <si>
    <t>Years Remaining at Year End</t>
  </si>
  <si>
    <t>Amortization
(Note E)</t>
  </si>
  <si>
    <t>(Excess)/Deficient ADIT Transmission - Ending Balance of Year
(Note F)
(Col. B + Col. C) - Col. F</t>
  </si>
  <si>
    <t>Protected (P)  Non-Protected (N)</t>
  </si>
  <si>
    <t>Non-property (Note A):</t>
  </si>
  <si>
    <t>Account 190</t>
  </si>
  <si>
    <t>Account 282</t>
  </si>
  <si>
    <t>Account 283</t>
  </si>
  <si>
    <t>Non-property gross up for Taxes</t>
  </si>
  <si>
    <t xml:space="preserve">Total Non-Property </t>
  </si>
  <si>
    <t>(Excess)/Deficient ADIT Transmission - Beginning Balance of Year
(Note B)</t>
  </si>
  <si>
    <t>Property (Note A):</t>
  </si>
  <si>
    <t>ARAM</t>
  </si>
  <si>
    <t>Deferral of Amortized Excess/Deficient ADITs  (Note G)</t>
  </si>
  <si>
    <t>Upon a tax rate change (federal, state and/or, if applicable, state apportionments),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different and APB11 deferred tax balance (the historical ADIT based on the time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income tax rate change.</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</si>
  <si>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</si>
  <si>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</si>
  <si>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</si>
  <si>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The amortization will occur through FERC income statement Accounts 410.1. and 411.1</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</si>
  <si>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</si>
  <si>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</si>
  <si>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</si>
  <si>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</si>
  <si>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</si>
  <si>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</si>
  <si>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</si>
  <si>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</si>
  <si>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</si>
  <si>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</si>
  <si>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</si>
  <si>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Year 2021</t>
  </si>
  <si>
    <t>Less Over (Under) Recovery</t>
  </si>
  <si>
    <t>Appendix G1, Line 12, Column F</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</si>
  <si>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</si>
  <si>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</si>
  <si>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</si>
  <si>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</si>
  <si>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</si>
  <si>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</si>
  <si>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</si>
  <si>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</si>
  <si>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</si>
  <si>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</si>
  <si>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</si>
  <si>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</si>
  <si>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</si>
  <si>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WV Local Property Tax</t>
  </si>
  <si>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</si>
  <si>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</si>
  <si>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</si>
  <si>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</si>
  <si>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</si>
  <si>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</si>
  <si>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</si>
  <si>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</si>
  <si>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</si>
  <si>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</si>
  <si>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</si>
  <si>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</si>
  <si>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</si>
  <si>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On Line 36, enter revenues from RTO settlements that are associated with NITS and firm Point-to-Point Service for which the load is not included in the divisor to derive ATSI's zonal rates.  Exclude non-firm Point-to-Point revenues, and revenues related to MTEP and RTEP projects.  Include revenues and revenue adjustments associated with Docket EL02-111, and revenue credit adjustments related to ATSI's PJM integration as supported by Appendix 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</si>
  <si>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</si>
  <si>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</si>
  <si>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</si>
  <si>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</si>
  <si>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</si>
  <si>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</si>
  <si>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</si>
  <si>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</si>
  <si>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</si>
  <si>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</si>
  <si>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</si>
  <si>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</si>
  <si>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</si>
  <si>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</si>
  <si>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</si>
  <si>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</si>
  <si>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</si>
  <si>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</si>
  <si>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</si>
  <si>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</si>
  <si>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1i</t>
  </si>
  <si>
    <t>1j</t>
  </si>
  <si>
    <t>3d</t>
  </si>
  <si>
    <t>3e</t>
  </si>
  <si>
    <t>3f</t>
  </si>
  <si>
    <t>3h</t>
  </si>
  <si>
    <t>3i</t>
  </si>
  <si>
    <t xml:space="preserve">Col. g + Col. h </t>
  </si>
  <si>
    <t>Beginning balance of year is the end of the prior year balance as reflected on FERC Form No. 1, pages 232 (Account 182.3) and 278 (Account 254)</t>
  </si>
  <si>
    <t>Upon enactment of changes in tax law, income tax rates (including changes in apportionment) and other actions taken by a taxing authority, deferred taxes are re-measured and adjusted in the Company's books of account, resulting in excess or deficient accumulated deferred taxes.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</si>
  <si>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</si>
  <si>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</si>
  <si>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</si>
  <si>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</si>
  <si>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</si>
  <si>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</si>
  <si>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</si>
  <si>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</si>
  <si>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</si>
  <si>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</si>
  <si>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</si>
  <si>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</si>
  <si>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</si>
  <si>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</si>
  <si>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</si>
  <si>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</si>
  <si>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</si>
  <si>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</si>
  <si>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</si>
  <si>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</si>
  <si>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</si>
  <si>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</si>
  <si>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</si>
  <si>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</si>
  <si>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</si>
  <si>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</si>
  <si>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</si>
  <si>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</si>
  <si>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</si>
  <si>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</si>
  <si>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</si>
  <si>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</si>
  <si>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</si>
  <si>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</si>
  <si>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</si>
  <si>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ADIT Adjustment to Attachment H-21A [F]</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</si>
  <si>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</si>
  <si>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</si>
  <si>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</si>
  <si>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</si>
  <si>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</si>
  <si>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</si>
  <si>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</si>
  <si>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</si>
  <si>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Sum of Lines 1.01 through 1.XX</t>
  </si>
  <si>
    <t xml:space="preserve">FERC Account No. 190 ADIT Adjustments </t>
  </si>
  <si>
    <t>Charitable Contribution Limit</t>
  </si>
  <si>
    <t>Contribution in Aid of Construction</t>
  </si>
  <si>
    <t>Sum of Lines 3.01 through 3.XX</t>
  </si>
  <si>
    <t>3.XX</t>
  </si>
  <si>
    <t>FERC Account No. 282</t>
  </si>
  <si>
    <t>FERC Account No. 190</t>
  </si>
  <si>
    <t>FERC Account No. 282 ADIT Adjustments</t>
  </si>
  <si>
    <t>Asset Impairment</t>
  </si>
  <si>
    <t>Extraordinary Property Losses</t>
  </si>
  <si>
    <t>FERC Account No. 283</t>
  </si>
  <si>
    <t>FERC Account No. 283 ADIT Adjustments</t>
  </si>
  <si>
    <t>Sum of Lines 11.01 through 11.XX</t>
  </si>
  <si>
    <t>Description (a)</t>
  </si>
  <si>
    <t xml:space="preserve">FERC Account No. 190 After Adjustments </t>
  </si>
  <si>
    <t xml:space="preserve">FERC Account No. 282 After Adjustments </t>
  </si>
  <si>
    <t xml:space="preserve">FERC Account No. 283 After Adjustments </t>
  </si>
  <si>
    <t>Sum of Lines 6.01 through 6.XX</t>
  </si>
  <si>
    <t>8.XX</t>
  </si>
  <si>
    <t>Sum of Lines 8.01 through 8.XX</t>
  </si>
  <si>
    <t>13.XX</t>
  </si>
  <si>
    <t>Sum of Lines 13.01 through 13.XX</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</si>
  <si>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</si>
  <si>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</si>
  <si>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</si>
  <si>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</si>
  <si>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</si>
  <si>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2. WP03-A will only include prorated amounts</t>
  </si>
  <si>
    <t>Prorated (a)</t>
  </si>
  <si>
    <t>Not Prorated (b)</t>
  </si>
  <si>
    <t>Columns [G] and [H] include non-prorated ADIT items.</t>
  </si>
  <si>
    <t>Normalization is sourced from WP03-A, page 1, column O.</t>
  </si>
  <si>
    <t>1. WP03-A will be populated and utilize PTRR information for the PTRR and ATRR information for the ATRR.</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</si>
  <si>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</si>
  <si>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</si>
  <si>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</si>
  <si>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</si>
  <si>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</si>
  <si>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WP03</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</si>
  <si>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WP03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WP03 ADIT. </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</si>
  <si>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</si>
  <si>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</si>
  <si>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</si>
  <si>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</si>
  <si>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</si>
  <si>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</si>
  <si>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</si>
  <si>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</si>
  <si>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</si>
  <si>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</si>
  <si>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</si>
  <si>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</si>
  <si>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</si>
  <si>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</si>
  <si>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</si>
  <si>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</si>
  <si>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</si>
  <si>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</si>
  <si>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</si>
  <si>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</si>
  <si>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</si>
  <si>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</si>
  <si>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</si>
  <si>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</si>
  <si>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</si>
  <si>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NOL Deferred Tax Asset - LT PA</t>
  </si>
  <si>
    <t>NOL Deferred Tax Asset - LT WV</t>
  </si>
  <si>
    <t>Qualified Asset Adjustment - Local</t>
  </si>
  <si>
    <t>N/A</t>
  </si>
  <si>
    <t>Sale of Property - Book Gain or (Loss)</t>
  </si>
  <si>
    <t>MISO Exit Fees Deferral</t>
  </si>
  <si>
    <t>RTO Study Deferral</t>
  </si>
  <si>
    <t>Valuation Allowance NOL WV</t>
  </si>
  <si>
    <t>P/N</t>
  </si>
  <si>
    <t>2021 Revenue Requirement Collected by PJM Based on Forecast filed on Oct 15, 2020</t>
  </si>
  <si>
    <t>Reconciliation Revenue Requirement For Year 2021 Available May 2, 2022</t>
  </si>
  <si>
    <t>An over or under collection will be recovered prorata over 2021, held for 2022 and returned prorata over 2023</t>
  </si>
  <si>
    <t>Year 2022</t>
  </si>
  <si>
    <t>Year 2023</t>
  </si>
  <si>
    <t>For the 12 months ended 12/31/2023</t>
  </si>
  <si>
    <t>Capitalized Interest</t>
  </si>
  <si>
    <t>FAS109 Related to Property</t>
  </si>
  <si>
    <t>263A Capitalized Overheads</t>
  </si>
  <si>
    <t>Accelarated Depreciation</t>
  </si>
  <si>
    <t>AFUDC</t>
  </si>
  <si>
    <t>ARO</t>
  </si>
  <si>
    <t>Capitalized Benefits</t>
  </si>
  <si>
    <t>Capitalized Tree Trimming</t>
  </si>
  <si>
    <t>Casualty Loss</t>
  </si>
  <si>
    <t>Cost of Removal</t>
  </si>
  <si>
    <t>OPEBs</t>
  </si>
  <si>
    <t>Other</t>
  </si>
  <si>
    <t>Repairs</t>
  </si>
  <si>
    <t>AFUDC Equity Flow Thru (Gross up)</t>
  </si>
  <si>
    <t>Property FAS109</t>
  </si>
  <si>
    <t>Federal Long Term NOL</t>
  </si>
  <si>
    <t>NOL Deferred Tax Asset - LT OH Local</t>
  </si>
  <si>
    <t>Investment Tax Credit</t>
  </si>
  <si>
    <t>Asset Retirement Obligation Liability</t>
  </si>
  <si>
    <t>Charitable Contribution Carryforward</t>
  </si>
  <si>
    <t>PJM Payable</t>
  </si>
  <si>
    <t>Valuation Allowance NOL OH Local DIT</t>
  </si>
  <si>
    <t>FAS 109 Gross-up on Non-property Items</t>
  </si>
  <si>
    <t>FE Service Tax Interest Allocation</t>
  </si>
  <si>
    <t>FE Service Timing Allocation</t>
  </si>
  <si>
    <t>Lease ROU Asset &amp; Liability</t>
  </si>
  <si>
    <t>State Income Tax Deductible</t>
  </si>
  <si>
    <t>Deferred Charge-EIB</t>
  </si>
  <si>
    <t>PTRR</t>
  </si>
  <si>
    <t>2023 PTRR</t>
  </si>
  <si>
    <t>3a</t>
  </si>
  <si>
    <t>3b</t>
  </si>
  <si>
    <t>3c</t>
  </si>
  <si>
    <t>3g</t>
  </si>
  <si>
    <t>3j</t>
  </si>
  <si>
    <t>7a</t>
  </si>
  <si>
    <t>Vegetation Management Adj. (Reverse Cap. Vertical Tree Trimming Activity)</t>
  </si>
  <si>
    <t>7b</t>
  </si>
  <si>
    <t>Vegetation Management Adj. (Put on the Regulatory Asset)</t>
  </si>
  <si>
    <t>ITC FAS 109 - FE- PA Change-2022</t>
  </si>
  <si>
    <t>NOL Deferred Tax Asset - LT PA- PA Change-2022</t>
  </si>
  <si>
    <t>Deferred Charge-EIB- PA Change-2022</t>
  </si>
  <si>
    <t>FE Service Timing Allocation- PA Change-2022</t>
  </si>
  <si>
    <t>MISO Exit Fees Deferral- PA Change-2022</t>
  </si>
  <si>
    <t>RTO Study Deferral- PA Change-2022</t>
  </si>
  <si>
    <t>Vegetation Management- PA Change-2022</t>
  </si>
  <si>
    <t>Federal Long Term NOL - Protected-TCJA-2017</t>
  </si>
  <si>
    <t>Federal Long Term NOL - Unprotected-TCJA-2017</t>
  </si>
  <si>
    <t>ITC FAS 109 - FE-TCJA-2017</t>
  </si>
  <si>
    <t>NOL Deferred Tax Asset - LT OH Local DIT-TCJA-2017</t>
  </si>
  <si>
    <t>NOL Deferred Tax Asset - LT PA-TCJA-2017</t>
  </si>
  <si>
    <t>NOL Deferred Tax Asset - LT WV-TCJA-2017</t>
  </si>
  <si>
    <t>Pension/OPEB : Other Def Cr. or Dr.-TCJA-2017</t>
  </si>
  <si>
    <t>Qualified Asset Adjustment - Local-TCJA-2017</t>
  </si>
  <si>
    <t>MISO Exit Fees Deferral-TCJA-2017</t>
  </si>
  <si>
    <t>Qualified Asset Adjustment - Local - Val Allow-TCJA-2017</t>
  </si>
  <si>
    <t>RTO Study Deferral-TCJA-2017</t>
  </si>
  <si>
    <t>Valuation Allowance NOL WV-TCJA-2017</t>
  </si>
  <si>
    <t>Vegetation Management-TCJA-2017</t>
  </si>
  <si>
    <t>Property Book-Tax Timing Difference - Account 190-TCJA-2017</t>
  </si>
  <si>
    <t>Property Book-Tax Timing Difference - Account 282-TCJA-2017</t>
  </si>
  <si>
    <t>Property Book-Tax Timing Difference - Account 283-TCJA-2017</t>
  </si>
  <si>
    <t>Property Book-Tax Timing Difference - Account 190- PA Change-2022</t>
  </si>
  <si>
    <t>Property Book-Tax Timing Difference - Account 282- PA Change-2022</t>
  </si>
  <si>
    <t>Property Book-Tax Timing Difference - Account 283- PA Change-2022</t>
  </si>
  <si>
    <t>Total Property (Total of lines 6 thru 12)</t>
  </si>
  <si>
    <t>Total Non-Property &amp; Property Amortization, including gross up for taxes (Total of lines 5, 13, and 14)</t>
  </si>
  <si>
    <t>11.XX</t>
  </si>
  <si>
    <t>6.XX</t>
  </si>
  <si>
    <t>1.XX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</si>
</sst>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91">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rgb="FFFF0000"/>
      <name val="Times New Roman"/>
      <family val="1"/>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2"/>
      <color rgb="FFC00000"/>
      <name val="Times New Roman"/>
      <family val="1"/>
    </font>
    <font>
      <sz val="12"/>
      <color rgb="FF002060"/>
      <name val="Times New Roman"/>
      <family val="1"/>
    </font>
    <font>
      <sz val="12"/>
      <color theme="5" tint="-0.499969989061356"/>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u val="single"/>
      <sz val="10"/>
      <name val="Calibri"/>
      <family val="2"/>
      <scheme val="minor"/>
    </font>
    <font>
      <sz val="11"/>
      <name val="Calibri"/>
      <family val="2"/>
      <scheme val="minor"/>
    </font>
    <font>
      <b/>
      <sz val="12"/>
      <color theme="1"/>
      <name val="Calibri"/>
      <family val="2"/>
      <scheme val="minor"/>
    </font>
    <font>
      <b/>
      <sz val="11"/>
      <color rgb="FFFF0000"/>
      <name val="Calibri"/>
      <family val="2"/>
      <scheme val="minor"/>
    </font>
    <font>
      <u val="single"/>
      <sz val="10"/>
      <name val="Arial"/>
      <family val="2"/>
    </font>
    <font>
      <b/>
      <sz val="11"/>
      <name val="Calibri"/>
      <family val="2"/>
      <scheme val="minor"/>
    </font>
    <font>
      <b/>
      <strike/>
      <sz val="12"/>
      <color rgb="FFFF0000"/>
      <name val="Times New Roman"/>
      <family val="1"/>
    </font>
    <font>
      <b/>
      <sz val="11"/>
      <name val="Times New Roman"/>
      <family val="1"/>
    </font>
  </fonts>
  <fills count="23">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right/>
      <top/>
      <bottom style="double">
        <color auto="1"/>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style="medium">
        <color auto="1"/>
      </right>
      <top style="medium">
        <color auto="1"/>
      </top>
      <bottom style="medium">
        <color auto="1"/>
      </bottom>
    </border>
  </borders>
  <cellStyleXfs count="159">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cellStyleXfs>
  <cellXfs count="859">
    <xf numFmtId="174" fontId="0" fillId="0" borderId="0" xfId="0" applyAlignment="1">
      <alignment/>
    </xf>
    <xf numFmtId="174" fontId="32" fillId="0" borderId="0" xfId="0" applyFont="1" applyAlignment="1">
      <alignment/>
    </xf>
    <xf numFmtId="174" fontId="32" fillId="0" borderId="0" xfId="0" applyFont="1" applyFill="1" applyAlignment="1">
      <alignment/>
    </xf>
    <xf numFmtId="0" fontId="32" fillId="0" borderId="0" xfId="0" applyNumberFormat="1" applyFont="1"/>
    <xf numFmtId="0" fontId="32" fillId="0" borderId="0" xfId="0" applyNumberFormat="1" applyFont="1" applyAlignment="1">
      <alignment horizontal="right"/>
    </xf>
    <xf numFmtId="3" fontId="32" fillId="0" borderId="0" xfId="0" applyNumberFormat="1" applyFont="1" applyFill="1" applyBorder="1"/>
    <xf numFmtId="0" fontId="32" fillId="0" borderId="0" xfId="0" applyNumberFormat="1" applyFont="1" applyFill="1"/>
    <xf numFmtId="0" fontId="32" fillId="0" borderId="0" xfId="0" applyNumberFormat="1" applyFont="1" applyFill="1" applyAlignment="1">
      <alignment horizontal="right"/>
    </xf>
    <xf numFmtId="0" fontId="32" fillId="0" borderId="0" xfId="0" applyNumberFormat="1" applyFont="1" applyFill="1" applyBorder="1"/>
    <xf numFmtId="0" fontId="32" fillId="0" borderId="0" xfId="0" applyNumberFormat="1" applyFont="1" applyFill="1" applyBorder="1" applyAlignment="1">
      <alignment horizontal="center"/>
    </xf>
    <xf numFmtId="3" fontId="32" fillId="0" borderId="0" xfId="0" applyNumberFormat="1" applyFont="1" applyFill="1" applyBorder="1" applyAlignment="1">
      <alignment/>
    </xf>
    <xf numFmtId="49" fontId="32" fillId="0" borderId="0" xfId="0" applyNumberFormat="1" applyFont="1" applyFill="1" applyBorder="1" applyAlignment="1">
      <alignment horizontal="left"/>
    </xf>
    <xf numFmtId="49" fontId="32" fillId="0" borderId="0" xfId="0" applyNumberFormat="1" applyFont="1" applyFill="1" applyBorder="1" applyAlignment="1">
      <alignment horizontal="center"/>
    </xf>
    <xf numFmtId="0" fontId="33" fillId="0" borderId="0" xfId="0" applyNumberFormat="1" applyFont="1" applyFill="1" applyBorder="1" applyAlignment="1">
      <alignment horizontal="center"/>
    </xf>
    <xf numFmtId="174" fontId="32" fillId="0" borderId="0" xfId="0" applyFont="1" applyFill="1" applyBorder="1" applyAlignment="1">
      <alignment/>
    </xf>
    <xf numFmtId="3" fontId="33" fillId="0" borderId="0" xfId="0" applyNumberFormat="1" applyFont="1" applyFill="1" applyBorder="1" applyAlignment="1">
      <alignment/>
    </xf>
    <xf numFmtId="164" fontId="32" fillId="0" borderId="0" xfId="0" applyNumberFormat="1" applyFont="1" applyFill="1" applyBorder="1" applyAlignment="1">
      <alignment horizontal="center"/>
    </xf>
    <xf numFmtId="49" fontId="32" fillId="0" borderId="0" xfId="0" applyNumberFormat="1" applyFont="1" applyFill="1" applyBorder="1" applyAlignment="1">
      <alignment/>
    </xf>
    <xf numFmtId="3" fontId="32" fillId="0" borderId="0" xfId="99" applyNumberFormat="1" applyFont="1" applyAlignment="1">
      <alignment/>
      <protection/>
    </xf>
    <xf numFmtId="0" fontId="5" fillId="0" borderId="0" xfId="99">
      <alignment/>
      <protection/>
    </xf>
    <xf numFmtId="0" fontId="36" fillId="0" borderId="0" xfId="99" applyFont="1" applyAlignment="1">
      <alignment/>
      <protection/>
    </xf>
    <xf numFmtId="3" fontId="36" fillId="0" borderId="0" xfId="99" applyNumberFormat="1" applyFont="1" applyAlignment="1">
      <alignment/>
      <protection/>
    </xf>
    <xf numFmtId="3" fontId="32" fillId="0" borderId="0" xfId="99" applyNumberFormat="1" applyFont="1" applyBorder="1" applyAlignment="1">
      <alignment/>
      <protection/>
    </xf>
    <xf numFmtId="0" fontId="32" fillId="0" borderId="0" xfId="99" applyFont="1" applyBorder="1" applyAlignment="1">
      <alignment/>
      <protection/>
    </xf>
    <xf numFmtId="0" fontId="32" fillId="0" borderId="0" xfId="0" applyNumberFormat="1" applyFont="1" applyFill="1" applyBorder="1" applyAlignment="1">
      <alignment horizontal="right"/>
    </xf>
    <xf numFmtId="49" fontId="32" fillId="0" borderId="0" xfId="0" applyNumberFormat="1" applyFont="1" applyFill="1" applyBorder="1"/>
    <xf numFmtId="3" fontId="33" fillId="0" borderId="0" xfId="0" applyNumberFormat="1" applyFont="1" applyFill="1" applyBorder="1" applyAlignment="1">
      <alignment horizontal="center"/>
    </xf>
    <xf numFmtId="0" fontId="32" fillId="0" borderId="0" xfId="0" applyNumberFormat="1" applyFont="1" applyFill="1" applyBorder="1" applyAlignment="1">
      <alignment/>
    </xf>
    <xf numFmtId="0" fontId="33" fillId="0" borderId="0" xfId="0" applyNumberFormat="1" applyFont="1" applyFill="1" applyBorder="1" applyAlignment="1">
      <alignment/>
    </xf>
    <xf numFmtId="3" fontId="32" fillId="0" borderId="0" xfId="99" applyNumberFormat="1" applyFont="1" applyFill="1" applyBorder="1" applyAlignment="1">
      <alignment/>
      <protection/>
    </xf>
    <xf numFmtId="175" fontId="32" fillId="0" borderId="0" xfId="16" applyNumberFormat="1" applyFont="1" applyFill="1" applyBorder="1" applyAlignment="1">
      <alignment/>
    </xf>
    <xf numFmtId="0" fontId="32" fillId="0" borderId="0" xfId="99" applyNumberFormat="1" applyFont="1" applyBorder="1" applyAlignment="1">
      <alignment/>
      <protection/>
    </xf>
    <xf numFmtId="0" fontId="37" fillId="0" borderId="0" xfId="99" applyFont="1" applyBorder="1">
      <alignment/>
      <protection/>
    </xf>
    <xf numFmtId="0" fontId="32" fillId="0" borderId="0" xfId="99" applyFont="1" applyBorder="1">
      <alignment/>
      <protection/>
    </xf>
    <xf numFmtId="175" fontId="32" fillId="0" borderId="0" xfId="16" applyNumberFormat="1" applyFont="1" applyBorder="1" applyAlignment="1">
      <alignment/>
    </xf>
    <xf numFmtId="0" fontId="32" fillId="0" borderId="0" xfId="99" applyFont="1">
      <alignment/>
      <protection/>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Fill="1" applyBorder="1" applyAlignment="1">
      <alignment horizontal="right"/>
    </xf>
    <xf numFmtId="0" fontId="32" fillId="0" borderId="0" xfId="0" applyNumberFormat="1" applyFont="1" applyFill="1" applyBorder="1" applyAlignment="1" applyProtection="1">
      <alignment horizontal="center"/>
      <protection locked="0"/>
    </xf>
    <xf numFmtId="0" fontId="33" fillId="0" borderId="0" xfId="0" applyNumberFormat="1" applyFont="1" applyFill="1" applyBorder="1" applyAlignment="1" applyProtection="1">
      <alignment horizontal="center"/>
      <protection locked="0"/>
    </xf>
    <xf numFmtId="0" fontId="34" fillId="0" borderId="0" xfId="0" applyNumberFormat="1" applyFont="1" applyFill="1" applyBorder="1" applyAlignment="1" applyProtection="1">
      <alignment horizontal="center"/>
      <protection locked="0"/>
    </xf>
    <xf numFmtId="10" fontId="32" fillId="0" borderId="0" xfId="0" applyNumberFormat="1" applyFont="1" applyFill="1" applyBorder="1" applyAlignment="1">
      <alignment/>
    </xf>
    <xf numFmtId="10" fontId="33" fillId="0" borderId="0" xfId="0" applyNumberFormat="1" applyFont="1" applyFill="1" applyBorder="1" applyAlignment="1">
      <alignment/>
    </xf>
    <xf numFmtId="174" fontId="32" fillId="0" borderId="0" xfId="0" applyFont="1" applyFill="1" applyBorder="1" applyAlignment="1">
      <alignment horizontal="center"/>
    </xf>
    <xf numFmtId="174" fontId="33" fillId="0" borderId="0" xfId="0" applyFont="1" applyFill="1" applyBorder="1" applyAlignment="1">
      <alignment/>
    </xf>
    <xf numFmtId="174" fontId="35" fillId="0" borderId="0" xfId="0" applyFont="1" applyFill="1" applyBorder="1" applyAlignment="1">
      <alignment/>
    </xf>
    <xf numFmtId="176" fontId="33" fillId="0" borderId="0" xfId="0" applyNumberFormat="1" applyFont="1" applyFill="1" applyBorder="1" applyAlignment="1">
      <alignment horizontal="center"/>
    </xf>
    <xf numFmtId="174" fontId="33" fillId="0" borderId="13" xfId="0" applyFont="1" applyFill="1" applyBorder="1" applyAlignment="1">
      <alignment horizontal="center" wrapText="1"/>
    </xf>
    <xf numFmtId="174" fontId="33" fillId="0" borderId="14" xfId="0" applyFont="1" applyFill="1" applyBorder="1" applyAlignment="1">
      <alignment/>
    </xf>
    <xf numFmtId="174" fontId="33" fillId="0" borderId="14" xfId="0" applyFont="1" applyFill="1" applyBorder="1" applyAlignment="1">
      <alignment horizontal="center" wrapText="1"/>
    </xf>
    <xf numFmtId="0" fontId="33" fillId="0" borderId="14" xfId="0" applyNumberFormat="1" applyFont="1" applyFill="1" applyBorder="1" applyAlignment="1">
      <alignment horizontal="center" wrapText="1"/>
    </xf>
    <xf numFmtId="174" fontId="33" fillId="0" borderId="12" xfId="0" applyFont="1" applyFill="1" applyBorder="1" applyAlignment="1">
      <alignment horizontal="center" wrapText="1"/>
    </xf>
    <xf numFmtId="3" fontId="33" fillId="0" borderId="12" xfId="0" applyNumberFormat="1" applyFont="1" applyFill="1" applyBorder="1" applyAlignment="1">
      <alignment horizontal="center" wrapText="1"/>
    </xf>
    <xf numFmtId="0" fontId="32" fillId="0" borderId="13" xfId="0" applyNumberFormat="1" applyFont="1" applyFill="1" applyBorder="1"/>
    <xf numFmtId="0" fontId="32" fillId="0" borderId="14" xfId="0" applyNumberFormat="1" applyFont="1" applyFill="1" applyBorder="1"/>
    <xf numFmtId="0" fontId="32" fillId="0" borderId="14" xfId="0" applyNumberFormat="1" applyFont="1" applyFill="1" applyBorder="1" applyAlignment="1">
      <alignment horizontal="center"/>
    </xf>
    <xf numFmtId="0" fontId="32" fillId="0" borderId="12" xfId="0" applyNumberFormat="1" applyFont="1" applyFill="1" applyBorder="1" applyAlignment="1">
      <alignment horizontal="center"/>
    </xf>
    <xf numFmtId="3" fontId="32" fillId="0" borderId="12" xfId="0" applyNumberFormat="1" applyFont="1" applyFill="1" applyBorder="1" applyAlignment="1">
      <alignment horizontal="center" wrapText="1"/>
    </xf>
    <xf numFmtId="0" fontId="32" fillId="0" borderId="15" xfId="0" applyNumberFormat="1" applyFont="1" applyFill="1" applyBorder="1"/>
    <xf numFmtId="0" fontId="32" fillId="0" borderId="10" xfId="0" applyNumberFormat="1" applyFont="1" applyFill="1" applyBorder="1"/>
    <xf numFmtId="3" fontId="32" fillId="0" borderId="10" xfId="0" applyNumberFormat="1" applyFont="1" applyFill="1" applyBorder="1" applyAlignment="1">
      <alignment/>
    </xf>
    <xf numFmtId="174" fontId="32" fillId="0" borderId="15" xfId="0" applyFont="1" applyFill="1" applyBorder="1" applyAlignment="1">
      <alignment/>
    </xf>
    <xf numFmtId="1" fontId="32" fillId="0" borderId="0" xfId="0" applyNumberFormat="1" applyFont="1" applyFill="1" applyBorder="1" applyAlignment="1">
      <alignment horizontal="center"/>
    </xf>
    <xf numFmtId="174" fontId="36" fillId="0" borderId="0" xfId="0" applyFont="1" applyFill="1" applyBorder="1" applyAlignment="1">
      <alignment/>
    </xf>
    <xf numFmtId="174" fontId="36" fillId="0" borderId="10" xfId="0" applyFont="1" applyFill="1" applyBorder="1" applyAlignment="1">
      <alignment/>
    </xf>
    <xf numFmtId="174" fontId="32" fillId="0" borderId="16" xfId="0" applyFont="1" applyFill="1" applyBorder="1" applyAlignment="1">
      <alignment/>
    </xf>
    <xf numFmtId="174" fontId="32" fillId="0" borderId="11" xfId="0" applyFont="1" applyFill="1" applyBorder="1" applyAlignment="1">
      <alignment/>
    </xf>
    <xf numFmtId="174" fontId="36" fillId="0" borderId="11" xfId="0" applyFont="1" applyFill="1" applyBorder="1" applyAlignment="1">
      <alignment/>
    </xf>
    <xf numFmtId="174" fontId="36" fillId="0" borderId="17" xfId="0" applyFont="1" applyFill="1" applyBorder="1" applyAlignment="1">
      <alignment/>
    </xf>
    <xf numFmtId="1" fontId="32" fillId="0" borderId="0" xfId="18" applyNumberFormat="1" applyFont="1" applyFill="1" applyBorder="1" applyAlignment="1">
      <alignment horizontal="center"/>
    </xf>
    <xf numFmtId="174" fontId="32" fillId="0" borderId="6" xfId="0" applyFont="1" applyFill="1" applyBorder="1" applyAlignment="1">
      <alignment/>
    </xf>
    <xf numFmtId="174" fontId="32" fillId="0" borderId="0" xfId="0" applyFont="1" applyFill="1" applyBorder="1" applyAlignment="1">
      <alignment horizontal="center" vertical="top"/>
    </xf>
    <xf numFmtId="175" fontId="32" fillId="0" borderId="10" xfId="16" applyNumberFormat="1" applyFont="1" applyFill="1" applyBorder="1" applyAlignment="1">
      <alignment/>
    </xf>
    <xf numFmtId="174" fontId="37" fillId="0" borderId="0" xfId="0" applyFont="1" applyFill="1" applyBorder="1" applyAlignment="1">
      <alignment/>
    </xf>
    <xf numFmtId="170" fontId="32" fillId="0" borderId="10" xfId="0" applyNumberFormat="1" applyFont="1" applyFill="1" applyBorder="1" applyAlignment="1">
      <alignment/>
    </xf>
    <xf numFmtId="174" fontId="33" fillId="0" borderId="14" xfId="0" applyFont="1" applyFill="1" applyBorder="1" applyAlignment="1">
      <alignment horizontal="center"/>
    </xf>
    <xf numFmtId="174" fontId="32" fillId="0" borderId="15" xfId="0" applyFont="1" applyFill="1" applyBorder="1" applyAlignment="1">
      <alignment horizontal="center"/>
    </xf>
    <xf numFmtId="0" fontId="32" fillId="0" borderId="0" xfId="99" applyFont="1" applyAlignment="1">
      <alignment horizontal="center" vertical="top"/>
      <protection/>
    </xf>
    <xf numFmtId="180" fontId="32" fillId="0" borderId="0" xfId="0" applyNumberFormat="1" applyFont="1" applyFill="1" applyBorder="1" applyAlignment="1">
      <alignment/>
    </xf>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2" fillId="0" borderId="0" xfId="0" applyFont="1" applyFill="1" applyAlignment="1">
      <alignment horizontal="center" vertical="center"/>
    </xf>
    <xf numFmtId="174" fontId="54" fillId="0" borderId="0" xfId="0" applyFont="1" applyFill="1" applyAlignment="1">
      <alignment horizontal="center" vertical="center"/>
    </xf>
    <xf numFmtId="174" fontId="53" fillId="0" borderId="0" xfId="0" applyFont="1" applyAlignment="1">
      <alignment horizontal="left" vertical="center"/>
    </xf>
    <xf numFmtId="0" fontId="55" fillId="0" borderId="0" xfId="0" applyNumberFormat="1" applyFont="1" applyFill="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8" fillId="21" borderId="18" xfId="0" applyFont="1" applyFill="1" applyBorder="1" applyAlignment="1">
      <alignment vertical="center"/>
    </xf>
    <xf numFmtId="174" fontId="59" fillId="21" borderId="2" xfId="0" applyFont="1" applyFill="1" applyBorder="1" applyAlignment="1">
      <alignment vertical="center"/>
    </xf>
    <xf numFmtId="174" fontId="59" fillId="21" borderId="2" xfId="0" applyFont="1" applyFill="1" applyBorder="1" applyAlignment="1">
      <alignment horizontal="center" vertical="center"/>
    </xf>
    <xf numFmtId="174" fontId="59" fillId="21" borderId="19" xfId="0" applyFont="1" applyFill="1" applyBorder="1" applyAlignment="1">
      <alignment vertical="center"/>
    </xf>
    <xf numFmtId="174" fontId="52" fillId="0" borderId="15" xfId="0" applyFont="1" applyBorder="1" applyAlignment="1">
      <alignment vertical="center"/>
    </xf>
    <xf numFmtId="174" fontId="52" fillId="0" borderId="0" xfId="0" applyFont="1" applyBorder="1" applyAlignment="1">
      <alignment vertical="center"/>
    </xf>
    <xf numFmtId="174" fontId="54" fillId="0" borderId="0" xfId="0" applyFont="1" applyBorder="1" applyAlignment="1">
      <alignment horizontal="center" vertical="center"/>
    </xf>
    <xf numFmtId="174" fontId="52" fillId="0" borderId="20" xfId="0" applyFont="1" applyBorder="1" applyAlignment="1">
      <alignment vertical="center"/>
    </xf>
    <xf numFmtId="174" fontId="53" fillId="0" borderId="0" xfId="0" applyFont="1" applyBorder="1" applyAlignment="1">
      <alignment horizontal="right" vertical="center"/>
    </xf>
    <xf numFmtId="174" fontId="53" fillId="0" borderId="0" xfId="0" applyFont="1" applyBorder="1" applyAlignment="1">
      <alignment horizontal="center" vertical="center"/>
    </xf>
    <xf numFmtId="0" fontId="52" fillId="20" borderId="0" xfId="0" applyNumberFormat="1" applyFont="1" applyFill="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Fill="1" applyBorder="1" applyAlignment="1">
      <alignment wrapText="1"/>
    </xf>
    <xf numFmtId="174" fontId="32" fillId="0" borderId="0" xfId="0" applyFont="1" applyFill="1" applyBorder="1" applyAlignment="1">
      <alignment wrapText="1"/>
    </xf>
    <xf numFmtId="0" fontId="32" fillId="0" borderId="2" xfId="0" applyNumberFormat="1" applyFont="1" applyFill="1" applyBorder="1"/>
    <xf numFmtId="0" fontId="32" fillId="0" borderId="19" xfId="0" applyNumberFormat="1" applyFont="1" applyFill="1" applyBorder="1"/>
    <xf numFmtId="0" fontId="32" fillId="0" borderId="15" xfId="0" applyNumberFormat="1" applyFont="1" applyFill="1" applyBorder="1" applyAlignment="1">
      <alignment horizontal="center"/>
    </xf>
    <xf numFmtId="0" fontId="32" fillId="0" borderId="14" xfId="0" applyNumberFormat="1" applyFont="1" applyFill="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Border="1" applyAlignment="1">
      <alignment horizontal="right"/>
    </xf>
    <xf numFmtId="174" fontId="59" fillId="0" borderId="0" xfId="0" applyFont="1" applyFill="1" applyBorder="1" applyAlignment="1">
      <alignment horizontal="center" vertical="center"/>
    </xf>
    <xf numFmtId="174" fontId="59" fillId="0" borderId="0" xfId="0" applyFont="1" applyFill="1" applyBorder="1" applyAlignment="1">
      <alignment vertical="center"/>
    </xf>
    <xf numFmtId="174" fontId="57" fillId="0" borderId="0" xfId="0" applyFont="1" applyAlignment="1">
      <alignment horizontal="lef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60" fillId="0" borderId="0" xfId="0" applyFont="1" applyFill="1" applyProtection="1">
      <protection locked="0"/>
    </xf>
    <xf numFmtId="174" fontId="12" fillId="0" borderId="0" xfId="0" applyFont="1" applyFill="1" applyProtection="1">
      <protection locked="0"/>
    </xf>
    <xf numFmtId="174" fontId="60" fillId="0" borderId="22" xfId="0" applyFont="1" applyFill="1" applyBorder="1" applyAlignment="1" applyProtection="1">
      <alignment horizontal="center" wrapText="1"/>
      <protection locked="0"/>
    </xf>
    <xf numFmtId="174" fontId="60" fillId="0" borderId="22" xfId="0" applyFont="1" applyFill="1" applyBorder="1" applyProtection="1">
      <protection locked="0"/>
    </xf>
    <xf numFmtId="174" fontId="60" fillId="0" borderId="0" xfId="0" applyFont="1" applyFill="1" applyAlignment="1" applyProtection="1">
      <alignment horizontal="center"/>
      <protection locked="0"/>
    </xf>
    <xf numFmtId="179" fontId="60" fillId="0" borderId="0" xfId="0" applyNumberFormat="1" applyFont="1" applyFill="1" applyProtection="1">
      <protection locked="0"/>
    </xf>
    <xf numFmtId="174" fontId="61" fillId="0" borderId="0" xfId="0" applyFont="1" applyFill="1" applyAlignment="1" applyProtection="1">
      <alignment horizontal="center"/>
      <protection locked="0"/>
    </xf>
    <xf numFmtId="179" fontId="60" fillId="0" borderId="6" xfId="0" applyNumberFormat="1" applyFont="1" applyFill="1" applyBorder="1" applyProtection="1">
      <protection locked="0"/>
    </xf>
    <xf numFmtId="174" fontId="60" fillId="0" borderId="6" xfId="0" applyFont="1" applyFill="1" applyBorder="1" applyAlignment="1" applyProtection="1">
      <alignment horizontal="center"/>
      <protection locked="0"/>
    </xf>
    <xf numFmtId="174" fontId="12" fillId="0" borderId="6" xfId="0" applyFont="1" applyFill="1" applyBorder="1" applyProtection="1">
      <protection locked="0"/>
    </xf>
    <xf numFmtId="179" fontId="60" fillId="0" borderId="0" xfId="0" applyNumberFormat="1" applyFont="1" applyFill="1" applyAlignment="1" applyProtection="1">
      <alignment horizontal="left"/>
      <protection locked="0"/>
    </xf>
    <xf numFmtId="0" fontId="61" fillId="0" borderId="0" xfId="0" applyNumberFormat="1" applyFont="1" applyFill="1" applyAlignment="1" applyProtection="1">
      <alignment horizontal="left"/>
      <protection locked="0"/>
    </xf>
    <xf numFmtId="174" fontId="61" fillId="0" borderId="0" xfId="0" applyFont="1" applyFill="1" applyAlignment="1" applyProtection="1">
      <alignment horizontal="center" wrapText="1"/>
      <protection locked="0"/>
    </xf>
    <xf numFmtId="179" fontId="61" fillId="0" borderId="0" xfId="0" applyNumberFormat="1" applyFont="1" applyFill="1" applyAlignment="1" applyProtection="1">
      <alignment horizontal="center" wrapText="1"/>
      <protection locked="0"/>
    </xf>
    <xf numFmtId="183" fontId="60" fillId="0" borderId="0" xfId="15" applyNumberFormat="1" applyFont="1" applyFill="1" applyProtection="1">
      <protection locked="0"/>
    </xf>
    <xf numFmtId="179" fontId="60" fillId="0" borderId="0" xfId="0" applyNumberFormat="1" applyFont="1" applyFill="1" applyAlignment="1" applyProtection="1">
      <alignment horizontal="center"/>
      <protection locked="0"/>
    </xf>
    <xf numFmtId="179" fontId="60" fillId="0" borderId="0" xfId="18" applyNumberFormat="1" applyFont="1" applyFill="1" applyProtection="1">
      <protection locked="0"/>
    </xf>
    <xf numFmtId="179" fontId="60" fillId="0" borderId="11" xfId="18" applyNumberFormat="1" applyFont="1" applyFill="1" applyBorder="1" applyProtection="1">
      <protection locked="0"/>
    </xf>
    <xf numFmtId="179" fontId="61" fillId="0" borderId="0" xfId="18" applyNumberFormat="1" applyFont="1" applyFill="1" applyProtection="1">
      <protection locked="0"/>
    </xf>
    <xf numFmtId="174" fontId="12" fillId="0" borderId="0" xfId="0" applyFont="1" applyFill="1"/>
    <xf numFmtId="179" fontId="61" fillId="0" borderId="0" xfId="18" applyNumberFormat="1" applyFont="1" applyFill="1" applyAlignment="1" applyProtection="1">
      <alignment horizontal="center"/>
      <protection locked="0"/>
    </xf>
    <xf numFmtId="174" fontId="62" fillId="0" borderId="0" xfId="0" applyFont="1" applyFill="1" applyProtection="1">
      <protection locked="0"/>
    </xf>
    <xf numFmtId="175" fontId="12" fillId="0" borderId="0" xfId="16" applyNumberFormat="1" applyFont="1" applyFill="1"/>
    <xf numFmtId="174" fontId="12" fillId="0" borderId="0" xfId="0" applyFont="1" applyFill="1" applyAlignment="1" applyProtection="1">
      <alignment wrapText="1"/>
      <protection locked="0"/>
    </xf>
    <xf numFmtId="174" fontId="32" fillId="0" borderId="0" xfId="0" applyFont="1" applyAlignment="1">
      <alignment vertical="center" wrapText="1"/>
    </xf>
    <xf numFmtId="174" fontId="60" fillId="0" borderId="23" xfId="0" applyFont="1" applyFill="1" applyBorder="1" applyAlignment="1" applyProtection="1">
      <alignment horizontal="center" vertical="center" wrapText="1"/>
      <protection locked="0"/>
    </xf>
    <xf numFmtId="174" fontId="60" fillId="0" borderId="0" xfId="0" applyFont="1" applyFill="1" applyAlignment="1" applyProtection="1">
      <alignment horizontal="center" vertical="center" wrapText="1"/>
      <protection locked="0"/>
    </xf>
    <xf numFmtId="174" fontId="62" fillId="0" borderId="0" xfId="0" applyFont="1" applyFill="1" applyAlignment="1" applyProtection="1">
      <alignment horizontal="left"/>
      <protection locked="0"/>
    </xf>
    <xf numFmtId="174" fontId="32" fillId="0" borderId="0" xfId="0" applyFont="1" applyFill="1" applyBorder="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Fill="1" applyBorder="1" applyAlignment="1">
      <alignment horizontal="center"/>
    </xf>
    <xf numFmtId="3" fontId="32" fillId="0" borderId="0" xfId="0" applyNumberFormat="1" applyFont="1" applyFill="1" applyBorder="1" applyAlignment="1">
      <alignment horizontal="center"/>
    </xf>
    <xf numFmtId="174" fontId="33" fillId="0" borderId="0" xfId="0" applyFont="1" applyFill="1" applyBorder="1" applyAlignment="1">
      <alignment horizontal="center"/>
    </xf>
    <xf numFmtId="0" fontId="32" fillId="0" borderId="0" xfId="0" applyNumberFormat="1" applyFont="1" applyFill="1" applyBorder="1" applyAlignment="1" applyProtection="1">
      <alignment horizontal="center"/>
      <protection locked="0"/>
    </xf>
    <xf numFmtId="0" fontId="32" fillId="0" borderId="12" xfId="0" applyNumberFormat="1" applyFont="1" applyFill="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3" fillId="0" borderId="0" xfId="145" applyFont="1">
      <alignment/>
      <protection/>
    </xf>
    <xf numFmtId="0" fontId="64"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1" fillId="0" borderId="0" xfId="145" applyFont="1" applyFill="1">
      <alignment/>
      <protection/>
    </xf>
    <xf numFmtId="174" fontId="52" fillId="0" borderId="0" xfId="0" applyFont="1" applyFill="1" applyAlignment="1">
      <alignment vertical="center"/>
    </xf>
    <xf numFmtId="174" fontId="53" fillId="0" borderId="0" xfId="0" applyFont="1" applyFill="1" applyAlignment="1">
      <alignment vertical="center"/>
    </xf>
    <xf numFmtId="174" fontId="32" fillId="0" borderId="0" xfId="0" applyFont="1" applyFill="1" applyAlignment="1">
      <alignment vertical="center"/>
    </xf>
    <xf numFmtId="0" fontId="5" fillId="0" borderId="0" xfId="99" applyFill="1">
      <alignment/>
      <protection/>
    </xf>
    <xf numFmtId="0" fontId="2" fillId="0" borderId="0" xfId="145" applyAlignment="1">
      <alignment vertical="center"/>
      <protection/>
    </xf>
    <xf numFmtId="174" fontId="32" fillId="0" borderId="0" xfId="0" applyFont="1" applyFill="1" applyAlignment="1">
      <alignment/>
    </xf>
    <xf numFmtId="175" fontId="32" fillId="20" borderId="11" xfId="16" applyNumberFormat="1" applyFont="1" applyFill="1" applyBorder="1" applyAlignment="1">
      <alignment/>
    </xf>
    <xf numFmtId="180" fontId="32" fillId="20" borderId="0" xfId="15" applyNumberFormat="1" applyFont="1" applyFill="1" applyBorder="1" applyAlignment="1">
      <alignment/>
    </xf>
    <xf numFmtId="174" fontId="65" fillId="0" borderId="0" xfId="0" applyFont="1" applyAlignment="1">
      <alignment vertical="center"/>
    </xf>
    <xf numFmtId="174" fontId="66"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7" fillId="0" borderId="0" xfId="18" applyNumberFormat="1" applyFont="1" applyAlignment="1">
      <alignment horizontal="center" vertical="center"/>
    </xf>
    <xf numFmtId="174" fontId="67"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Fill="1" applyBorder="1" applyAlignment="1">
      <alignment horizontal="center" wrapText="1"/>
    </xf>
    <xf numFmtId="0" fontId="32" fillId="0" borderId="24" xfId="0" applyNumberFormat="1" applyFont="1" applyFill="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3" fillId="0" borderId="0" xfId="149" applyFont="1">
      <alignment/>
      <protection/>
    </xf>
    <xf numFmtId="0" fontId="1" fillId="0" borderId="0" xfId="149" applyFont="1" applyFill="1">
      <alignment/>
      <protection/>
    </xf>
    <xf numFmtId="0" fontId="63"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63" fillId="0" borderId="0" xfId="149" applyFont="1" applyBorder="1">
      <alignment/>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3" fontId="32" fillId="0" borderId="0" xfId="0" applyNumberFormat="1" applyFont="1" applyFill="1" applyBorder="1" applyAlignment="1">
      <alignment horizontal="center"/>
    </xf>
    <xf numFmtId="174" fontId="69" fillId="0" borderId="0" xfId="0" applyFont="1" applyAlignment="1">
      <alignment vertical="center"/>
    </xf>
    <xf numFmtId="49" fontId="52" fillId="0" borderId="0" xfId="0" applyNumberFormat="1" applyFont="1" applyFill="1" applyAlignment="1">
      <alignment vertical="center"/>
    </xf>
    <xf numFmtId="174" fontId="69" fillId="0" borderId="0" xfId="0" applyFont="1" applyFill="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3" fontId="32" fillId="0" borderId="0" xfId="0" applyNumberFormat="1" applyFont="1" applyFill="1" applyBorder="1" applyAlignment="1">
      <alignment horizontal="center"/>
    </xf>
    <xf numFmtId="1" fontId="32" fillId="0" borderId="0" xfId="0" applyNumberFormat="1" applyFont="1" applyFill="1" applyBorder="1" applyAlignment="1">
      <alignment/>
    </xf>
    <xf numFmtId="1" fontId="32" fillId="20" borderId="0" xfId="0" applyNumberFormat="1" applyFont="1" applyFill="1" applyBorder="1" applyAlignment="1">
      <alignment/>
    </xf>
    <xf numFmtId="49" fontId="34" fillId="0" borderId="0" xfId="0" applyNumberFormat="1" applyFont="1" applyFill="1" applyBorder="1" applyAlignment="1">
      <alignment horizontal="center" wrapText="1"/>
    </xf>
    <xf numFmtId="1" fontId="34" fillId="0" borderId="0" xfId="0" applyNumberFormat="1" applyFont="1" applyFill="1" applyBorder="1" applyAlignment="1">
      <alignment horizontal="center" wrapText="1"/>
    </xf>
    <xf numFmtId="49" fontId="32" fillId="0" borderId="0" xfId="0" applyNumberFormat="1" applyFont="1" applyFill="1" applyBorder="1" applyAlignment="1">
      <alignment horizontal="center"/>
    </xf>
    <xf numFmtId="49" fontId="34" fillId="0" borderId="0" xfId="0" applyNumberFormat="1" applyFont="1" applyFill="1" applyBorder="1" applyAlignment="1">
      <alignment horizontal="right" wrapText="1"/>
    </xf>
    <xf numFmtId="1" fontId="32" fillId="20" borderId="0" xfId="0" applyNumberFormat="1" applyFont="1" applyFill="1" applyBorder="1" applyAlignment="1">
      <alignment horizontal="center"/>
    </xf>
    <xf numFmtId="1" fontId="32" fillId="0" borderId="0" xfId="0" applyNumberFormat="1" applyFont="1" applyFill="1" applyBorder="1" applyAlignment="1">
      <alignment horizontal="center" vertical="top"/>
    </xf>
    <xf numFmtId="49" fontId="32" fillId="0" borderId="0" xfId="0" applyNumberFormat="1" applyFont="1" applyFill="1" applyBorder="1" applyAlignment="1">
      <alignment vertical="top"/>
    </xf>
    <xf numFmtId="1" fontId="32" fillId="20" borderId="0" xfId="0" applyNumberFormat="1" applyFont="1" applyFill="1" applyBorder="1" applyAlignment="1">
      <alignment vertical="top"/>
    </xf>
    <xf numFmtId="174" fontId="32" fillId="0" borderId="0" xfId="0" applyFont="1" applyFill="1" applyBorder="1" applyAlignment="1">
      <alignment horizontal="right" vertical="top"/>
    </xf>
    <xf numFmtId="1" fontId="32" fillId="20" borderId="0" xfId="0" applyNumberFormat="1" applyFont="1" applyFill="1" applyBorder="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Fill="1" applyBorder="1" applyAlignment="1">
      <alignment vertical="top"/>
    </xf>
    <xf numFmtId="174" fontId="32" fillId="0" borderId="0" xfId="0" applyFont="1" applyAlignment="1">
      <alignment horizontal="center"/>
    </xf>
    <xf numFmtId="1" fontId="32" fillId="0" borderId="0" xfId="0" applyNumberFormat="1" applyFont="1" applyFill="1" applyBorder="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32" fillId="0" borderId="0" xfId="0" applyFont="1" applyAlignment="1">
      <alignment horizontal="center" vertical="top"/>
    </xf>
    <xf numFmtId="174" fontId="32" fillId="0" borderId="0" xfId="0" applyFont="1" applyAlignment="1">
      <alignment horizontal="center"/>
    </xf>
    <xf numFmtId="174" fontId="70" fillId="0" borderId="0" xfId="0" applyFont="1" applyFill="1" applyBorder="1" applyAlignment="1">
      <alignment/>
    </xf>
    <xf numFmtId="0" fontId="70" fillId="0" borderId="0" xfId="0" applyNumberFormat="1" applyFont="1" applyFill="1" applyBorder="1"/>
    <xf numFmtId="174" fontId="71" fillId="0" borderId="0" xfId="0" applyFont="1" applyFill="1" applyBorder="1" applyAlignment="1">
      <alignment/>
    </xf>
    <xf numFmtId="3" fontId="70" fillId="0" borderId="0" xfId="0" applyNumberFormat="1" applyFont="1" applyFill="1" applyBorder="1" applyAlignment="1">
      <alignment/>
    </xf>
    <xf numFmtId="0" fontId="70" fillId="0" borderId="10" xfId="0" applyNumberFormat="1" applyFont="1" applyFill="1" applyBorder="1"/>
    <xf numFmtId="174" fontId="71" fillId="0" borderId="10" xfId="0" applyFont="1" applyFill="1" applyBorder="1" applyAlignment="1">
      <alignment/>
    </xf>
    <xf numFmtId="174" fontId="71" fillId="0" borderId="17" xfId="0" applyFont="1" applyFill="1" applyBorder="1" applyAlignment="1">
      <alignment/>
    </xf>
    <xf numFmtId="174" fontId="32" fillId="0" borderId="0" xfId="0" applyFont="1" applyAlignment="1">
      <alignment/>
    </xf>
    <xf numFmtId="0" fontId="32" fillId="0" borderId="0" xfId="0" applyNumberFormat="1" applyFont="1" applyAlignment="1">
      <alignment horizontal="right"/>
    </xf>
    <xf numFmtId="0" fontId="32" fillId="0" borderId="0" xfId="0" applyNumberFormat="1" applyFont="1" applyAlignment="1">
      <alignment horizontal="left"/>
    </xf>
    <xf numFmtId="0" fontId="32" fillId="0" borderId="0" xfId="0" applyNumberFormat="1" applyFont="1"/>
    <xf numFmtId="0" fontId="32" fillId="0" borderId="0" xfId="0" applyNumberFormat="1" applyFont="1" applyAlignment="1">
      <alignment/>
    </xf>
    <xf numFmtId="0" fontId="32" fillId="20" borderId="0" xfId="0" applyNumberFormat="1" applyFont="1" applyFill="1"/>
    <xf numFmtId="174" fontId="32" fillId="20" borderId="0" xfId="0" applyFont="1" applyFill="1" applyAlignment="1">
      <alignment/>
    </xf>
    <xf numFmtId="0" fontId="32" fillId="20" borderId="0" xfId="0" applyNumberFormat="1" applyFont="1" applyFill="1" applyAlignment="1">
      <alignment horizontal="right"/>
    </xf>
    <xf numFmtId="3" fontId="32" fillId="0" borderId="0" xfId="0" applyNumberFormat="1" applyFont="1" applyAlignment="1">
      <alignment/>
    </xf>
    <xf numFmtId="0" fontId="32" fillId="0" borderId="0" xfId="0" applyNumberFormat="1" applyFont="1" applyAlignment="1">
      <alignment horizontal="center"/>
    </xf>
    <xf numFmtId="49" fontId="32" fillId="0" borderId="0" xfId="0" applyNumberFormat="1" applyFont="1" applyFill="1"/>
    <xf numFmtId="49" fontId="32" fillId="0" borderId="0" xfId="0" applyNumberFormat="1" applyFont="1"/>
    <xf numFmtId="0" fontId="32" fillId="0" borderId="6" xfId="0" applyNumberFormat="1" applyFont="1" applyBorder="1" applyAlignment="1">
      <alignment horizontal="center"/>
    </xf>
    <xf numFmtId="3" fontId="32" fillId="0" borderId="0" xfId="0" applyNumberFormat="1" applyFont="1"/>
    <xf numFmtId="42" fontId="32" fillId="0" borderId="0" xfId="0" applyNumberFormat="1" applyFont="1" applyFill="1"/>
    <xf numFmtId="0" fontId="32" fillId="0" borderId="0" xfId="0" applyNumberFormat="1" applyFont="1" applyFill="1" applyBorder="1"/>
    <xf numFmtId="180" fontId="32" fillId="0" borderId="0" xfId="15" applyNumberFormat="1" applyFont="1" applyAlignment="1">
      <alignment/>
    </xf>
    <xf numFmtId="177" fontId="32" fillId="0" borderId="0" xfId="0" applyNumberFormat="1" applyFont="1" applyFill="1" applyBorder="1"/>
    <xf numFmtId="0" fontId="32" fillId="0" borderId="0" xfId="0" applyNumberFormat="1" applyFont="1" applyFill="1" applyAlignment="1">
      <alignment horizontal="left"/>
    </xf>
    <xf numFmtId="3" fontId="32" fillId="0" borderId="0" xfId="0" applyNumberFormat="1" applyFont="1" applyFill="1" applyAlignment="1">
      <alignment/>
    </xf>
    <xf numFmtId="0" fontId="32" fillId="0" borderId="6" xfId="0" applyNumberFormat="1" applyFont="1" applyBorder="1" applyAlignment="1">
      <alignment horizontal="centerContinuous"/>
    </xf>
    <xf numFmtId="179" fontId="32" fillId="0" borderId="0" xfId="0" applyNumberFormat="1" applyFont="1" applyFill="1" applyBorder="1" applyAlignment="1">
      <alignment horizontal="center"/>
    </xf>
    <xf numFmtId="0" fontId="32" fillId="0" borderId="0" xfId="0" applyNumberFormat="1" applyFont="1" applyBorder="1" applyAlignment="1">
      <alignment horizontal="left"/>
    </xf>
    <xf numFmtId="165" fontId="32" fillId="0" borderId="0" xfId="0" applyNumberFormat="1" applyFont="1" applyBorder="1" applyAlignment="1">
      <alignment horizontal="right"/>
    </xf>
    <xf numFmtId="43" fontId="32" fillId="0" borderId="0" xfId="18" applyFont="1"/>
    <xf numFmtId="179" fontId="32" fillId="0" borderId="0" xfId="18" applyNumberFormat="1" applyFont="1" applyFill="1" applyAlignment="1">
      <alignment/>
    </xf>
    <xf numFmtId="166" fontId="32" fillId="0" borderId="0" xfId="0" applyNumberFormat="1" applyFont="1" applyAlignment="1">
      <alignment/>
    </xf>
    <xf numFmtId="43" fontId="32" fillId="0" borderId="0" xfId="18" applyFont="1" applyFill="1"/>
    <xf numFmtId="37" fontId="32" fillId="0" borderId="0" xfId="16" applyNumberFormat="1" applyFont="1" applyFill="1"/>
    <xf numFmtId="43" fontId="32" fillId="0" borderId="0" xfId="18" applyFont="1" applyFill="1" applyBorder="1"/>
    <xf numFmtId="179" fontId="32" fillId="0" borderId="0" xfId="18" applyNumberFormat="1" applyFont="1" applyFill="1"/>
    <xf numFmtId="37" fontId="32" fillId="0" borderId="0" xfId="0" applyNumberFormat="1" applyFont="1"/>
    <xf numFmtId="3" fontId="32" fillId="0" borderId="0" xfId="0" applyNumberFormat="1" applyFont="1" applyFill="1" applyBorder="1"/>
    <xf numFmtId="179" fontId="32" fillId="20" borderId="0" xfId="18" applyNumberFormat="1" applyFont="1" applyFill="1" applyAlignment="1">
      <alignment/>
    </xf>
    <xf numFmtId="166" fontId="32" fillId="0" borderId="0" xfId="0" applyNumberFormat="1" applyFont="1" applyFill="1" applyAlignment="1">
      <alignment/>
    </xf>
    <xf numFmtId="37" fontId="32" fillId="0" borderId="0" xfId="16" applyNumberFormat="1" applyFont="1" applyFill="1" applyBorder="1" applyAlignment="1">
      <alignment horizontal="center"/>
    </xf>
    <xf numFmtId="0" fontId="32" fillId="0" borderId="0" xfId="0" applyNumberFormat="1" applyFont="1" applyFill="1" applyAlignment="1">
      <alignment horizontal="center"/>
    </xf>
    <xf numFmtId="3" fontId="70" fillId="0" borderId="0" xfId="0" applyNumberFormat="1" applyFont="1" applyFill="1" applyAlignment="1">
      <alignment/>
    </xf>
    <xf numFmtId="37" fontId="32" fillId="0" borderId="0" xfId="0" applyNumberFormat="1" applyFont="1" applyFill="1"/>
    <xf numFmtId="179" fontId="32" fillId="0" borderId="6" xfId="18" applyNumberFormat="1" applyFont="1" applyFill="1" applyBorder="1" applyAlignment="1">
      <alignment/>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0" fontId="32" fillId="0" borderId="0" xfId="0"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applyAlignment="1">
      <alignment/>
    </xf>
    <xf numFmtId="3" fontId="32" fillId="0" borderId="0" xfId="0" applyNumberFormat="1" applyFont="1" applyAlignment="1">
      <alignment horizontal="fill"/>
    </xf>
    <xf numFmtId="179" fontId="32" fillId="0" borderId="28"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Border="1" applyAlignment="1">
      <alignment horizontal="right"/>
    </xf>
    <xf numFmtId="42" fontId="32" fillId="0" borderId="0" xfId="0" applyNumberFormat="1" applyFont="1" applyFill="1" applyBorder="1" applyAlignment="1">
      <alignment horizontal="right"/>
    </xf>
    <xf numFmtId="3" fontId="32" fillId="0" borderId="6" xfId="0" applyNumberFormat="1" applyFont="1" applyBorder="1" applyAlignment="1">
      <alignment horizontal="center"/>
    </xf>
    <xf numFmtId="174" fontId="32" fillId="0" borderId="0" xfId="0" applyFont="1" applyFill="1" applyBorder="1" applyAlignment="1">
      <alignment horizontal="right"/>
    </xf>
    <xf numFmtId="0" fontId="32" fillId="0" borderId="0" xfId="0" applyNumberFormat="1" applyFont="1" applyFill="1" applyAlignment="1">
      <alignment/>
    </xf>
    <xf numFmtId="174" fontId="32" fillId="0" borderId="0" xfId="0" applyFont="1" applyAlignment="1">
      <alignment horizontal="left"/>
    </xf>
    <xf numFmtId="174" fontId="32" fillId="0" borderId="0" xfId="0" applyFont="1" applyFill="1" applyAlignment="1">
      <alignment/>
    </xf>
    <xf numFmtId="0" fontId="74" fillId="0" borderId="0" xfId="0" applyNumberFormat="1"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0" fontId="32" fillId="0" borderId="0" xfId="0" applyNumberFormat="1" applyFont="1" applyFill="1" applyBorder="1" applyAlignment="1">
      <alignment horizontal="center"/>
    </xf>
    <xf numFmtId="0" fontId="32" fillId="0" borderId="0" xfId="0" applyNumberFormat="1" applyFont="1" applyBorder="1" applyAlignment="1">
      <alignment horizontal="center"/>
    </xf>
    <xf numFmtId="174" fontId="32" fillId="0" borderId="6" xfId="0" applyFont="1" applyBorder="1" applyAlignment="1">
      <alignment horizontal="center"/>
    </xf>
    <xf numFmtId="0" fontId="32" fillId="0" borderId="0" xfId="0" applyNumberFormat="1" applyFont="1" applyBorder="1" applyAlignment="1">
      <alignment horizontal="right"/>
    </xf>
    <xf numFmtId="43" fontId="32" fillId="0" borderId="0" xfId="18" applyFont="1" applyBorder="1" applyAlignment="1">
      <alignment horizontal="right"/>
    </xf>
    <xf numFmtId="43" fontId="32" fillId="0" borderId="0" xfId="18" applyFont="1" applyBorder="1"/>
    <xf numFmtId="44" fontId="32" fillId="0" borderId="0" xfId="16" applyNumberFormat="1" applyFont="1" applyFill="1" applyBorder="1"/>
    <xf numFmtId="173" fontId="32" fillId="0" borderId="0" xfId="0" applyNumberFormat="1" applyFont="1" applyAlignment="1">
      <alignment/>
    </xf>
    <xf numFmtId="43" fontId="32" fillId="0" borderId="0" xfId="18" applyFont="1" applyFill="1" applyAlignment="1">
      <alignment/>
    </xf>
    <xf numFmtId="44" fontId="32" fillId="0" borderId="0" xfId="16" applyFont="1" applyFill="1" applyBorder="1" applyAlignment="1">
      <alignment/>
    </xf>
    <xf numFmtId="3" fontId="32" fillId="0" borderId="0" xfId="0" applyNumberFormat="1" applyFont="1" applyAlignment="1">
      <alignment horizontal="left"/>
    </xf>
    <xf numFmtId="49" fontId="32" fillId="0" borderId="0" xfId="0" applyNumberFormat="1" applyFont="1" applyAlignment="1">
      <alignment horizontal="left"/>
    </xf>
    <xf numFmtId="49" fontId="32" fillId="0" borderId="0" xfId="0" applyNumberFormat="1" applyFont="1" applyAlignment="1">
      <alignment horizontal="center"/>
    </xf>
    <xf numFmtId="49" fontId="32" fillId="0" borderId="0" xfId="0" applyNumberFormat="1" applyFont="1" applyFill="1" applyBorder="1" applyAlignment="1">
      <alignment horizontal="center"/>
    </xf>
    <xf numFmtId="174" fontId="33" fillId="0" borderId="0" xfId="0" applyFont="1" applyAlignment="1">
      <alignment horizontal="center"/>
    </xf>
    <xf numFmtId="0" fontId="33" fillId="0" borderId="0" xfId="0" applyNumberFormat="1" applyFont="1" applyAlignment="1">
      <alignment horizontal="center"/>
    </xf>
    <xf numFmtId="0" fontId="33" fillId="0" borderId="0" xfId="0" applyNumberFormat="1" applyFont="1" applyFill="1" applyBorder="1" applyAlignment="1">
      <alignment horizontal="right"/>
    </xf>
    <xf numFmtId="3" fontId="33" fillId="0" borderId="0" xfId="0" applyNumberFormat="1" applyFont="1" applyAlignment="1">
      <alignment/>
    </xf>
    <xf numFmtId="3" fontId="32" fillId="0" borderId="0" xfId="0" applyNumberFormat="1" applyFont="1" applyFill="1" applyBorder="1" applyAlignment="1">
      <alignment horizontal="right"/>
    </xf>
    <xf numFmtId="0" fontId="33" fillId="0" borderId="0" xfId="0" applyNumberFormat="1" applyFont="1" applyAlignment="1">
      <alignment/>
    </xf>
    <xf numFmtId="3" fontId="32" fillId="0" borderId="0" xfId="0" applyNumberFormat="1" applyFont="1" applyFill="1" applyBorder="1" applyAlignment="1">
      <alignment/>
    </xf>
    <xf numFmtId="174" fontId="32" fillId="0" borderId="0" xfId="0" applyFont="1" applyFill="1" applyBorder="1" applyAlignment="1">
      <alignment/>
    </xf>
    <xf numFmtId="165" fontId="32" fillId="0" borderId="0" xfId="0" applyNumberFormat="1" applyFont="1" applyAlignment="1">
      <alignment/>
    </xf>
    <xf numFmtId="43" fontId="32" fillId="0" borderId="0" xfId="18" applyFont="1" applyFill="1" applyBorder="1" applyAlignment="1">
      <alignment/>
    </xf>
    <xf numFmtId="179" fontId="32" fillId="0" borderId="0" xfId="18" applyNumberFormat="1" applyFont="1" applyAlignment="1">
      <alignment/>
    </xf>
    <xf numFmtId="179" fontId="32" fillId="20" borderId="6" xfId="18" applyNumberFormat="1" applyFont="1" applyFill="1" applyBorder="1" applyAlignment="1">
      <alignment/>
    </xf>
    <xf numFmtId="179" fontId="32" fillId="0" borderId="6" xfId="18" applyNumberFormat="1" applyFont="1" applyBorder="1" applyAlignment="1">
      <alignment/>
    </xf>
    <xf numFmtId="164" fontId="32" fillId="0" borderId="0" xfId="0" applyNumberFormat="1" applyFont="1" applyAlignment="1">
      <alignment horizontal="center"/>
    </xf>
    <xf numFmtId="43" fontId="32" fillId="0" borderId="0" xfId="18" applyFont="1" applyFill="1" applyBorder="1" applyAlignment="1">
      <alignment horizontal="center"/>
    </xf>
    <xf numFmtId="43" fontId="32" fillId="0" borderId="0" xfId="18" applyFont="1" applyAlignment="1">
      <alignment horizontal="center"/>
    </xf>
    <xf numFmtId="165" fontId="74" fillId="0" borderId="0" xfId="0" applyNumberFormat="1" applyFont="1" applyFill="1" applyAlignment="1">
      <alignment horizontal="right"/>
    </xf>
    <xf numFmtId="164" fontId="32" fillId="0" borderId="0" xfId="0" applyNumberFormat="1" applyFont="1" applyAlignment="1">
      <alignment horizontal="left"/>
    </xf>
    <xf numFmtId="179" fontId="32" fillId="20" borderId="0" xfId="18" applyNumberFormat="1" applyFont="1" applyFill="1" applyBorder="1" applyAlignment="1">
      <alignment/>
    </xf>
    <xf numFmtId="179" fontId="32" fillId="0" borderId="0" xfId="18" applyNumberFormat="1" applyFont="1" applyBorder="1" applyAlignment="1">
      <alignment/>
    </xf>
    <xf numFmtId="174" fontId="70" fillId="0" borderId="0" xfId="0" applyFont="1" applyAlignment="1">
      <alignment/>
    </xf>
    <xf numFmtId="0" fontId="76" fillId="0" borderId="0" xfId="0" applyNumberFormat="1" applyFont="1" applyAlignment="1">
      <alignment horizontal="left"/>
    </xf>
    <xf numFmtId="3" fontId="77" fillId="0" borderId="0" xfId="0" applyNumberFormat="1" applyFont="1" applyAlignment="1">
      <alignment horizontal="left"/>
    </xf>
    <xf numFmtId="179" fontId="32" fillId="0" borderId="0" xfId="18" applyNumberFormat="1" applyFont="1" applyFill="1" applyBorder="1" applyAlignment="1">
      <alignment/>
    </xf>
    <xf numFmtId="165" fontId="32" fillId="0" borderId="0" xfId="0" applyNumberFormat="1" applyFont="1" applyFill="1" applyAlignment="1">
      <alignment/>
    </xf>
    <xf numFmtId="179" fontId="32" fillId="0" borderId="28" xfId="18" applyNumberFormat="1" applyFont="1" applyBorder="1" applyAlignment="1">
      <alignment/>
    </xf>
    <xf numFmtId="43" fontId="32" fillId="0" borderId="0" xfId="18" applyFont="1" applyBorder="1" applyAlignment="1">
      <alignment/>
    </xf>
    <xf numFmtId="3" fontId="32" fillId="0" borderId="0" xfId="0" applyNumberFormat="1" applyFont="1" applyBorder="1" applyAlignment="1">
      <alignment/>
    </xf>
    <xf numFmtId="0" fontId="32" fillId="0" borderId="0" xfId="0" applyNumberFormat="1" applyFont="1" applyAlignment="1" applyProtection="1">
      <alignment/>
      <protection locked="0"/>
    </xf>
    <xf numFmtId="3" fontId="32" fillId="0" borderId="0" xfId="0" applyNumberFormat="1" applyFont="1" applyFill="1" applyAlignment="1">
      <alignment horizontal="right"/>
    </xf>
    <xf numFmtId="0" fontId="33" fillId="0" borderId="0" xfId="0" applyNumberFormat="1" applyFont="1" applyAlignment="1">
      <alignment horizontal="left"/>
    </xf>
    <xf numFmtId="3" fontId="74" fillId="0" borderId="0" xfId="0" applyNumberFormat="1" applyFont="1" applyFill="1" applyAlignment="1">
      <alignment/>
    </xf>
    <xf numFmtId="172" fontId="32" fillId="0" borderId="0" xfId="0" applyNumberFormat="1" applyFont="1" applyFill="1" applyAlignment="1">
      <alignment horizontal="left"/>
    </xf>
    <xf numFmtId="166" fontId="74" fillId="0" borderId="0" xfId="0" applyNumberFormat="1" applyFont="1" applyFill="1" applyAlignment="1">
      <alignment horizontal="right"/>
    </xf>
    <xf numFmtId="166" fontId="32" fillId="0" borderId="0" xfId="0" applyNumberFormat="1" applyFont="1" applyAlignment="1">
      <alignment horizontal="center"/>
    </xf>
    <xf numFmtId="10" fontId="32" fillId="0" borderId="0" xfId="0" applyNumberFormat="1" applyFont="1" applyFill="1" applyAlignment="1">
      <alignment horizontal="right"/>
    </xf>
    <xf numFmtId="10" fontId="32" fillId="0" borderId="0" xfId="15" applyNumberFormat="1" applyFont="1" applyAlignment="1">
      <alignment horizontal="left"/>
    </xf>
    <xf numFmtId="10" fontId="32" fillId="0" borderId="0" xfId="15" applyNumberFormat="1" applyFont="1" applyAlignment="1">
      <alignment/>
    </xf>
    <xf numFmtId="184" fontId="32" fillId="0" borderId="0" xfId="18" applyNumberFormat="1" applyFont="1" applyFill="1" applyAlignment="1">
      <alignment horizontal="right"/>
    </xf>
    <xf numFmtId="178" fontId="32" fillId="0" borderId="0" xfId="0" applyNumberFormat="1" applyFont="1" applyAlignment="1">
      <alignment horizontal="left"/>
    </xf>
    <xf numFmtId="10" fontId="32" fillId="0" borderId="0" xfId="0" applyNumberFormat="1" applyFont="1" applyAlignment="1">
      <alignment horizontal="left"/>
    </xf>
    <xf numFmtId="3" fontId="76" fillId="0" borderId="0" xfId="0" applyNumberFormat="1" applyFont="1" applyAlignment="1">
      <alignment horizontal="left"/>
    </xf>
    <xf numFmtId="176" fontId="32" fillId="0" borderId="0" xfId="0" applyNumberFormat="1" applyFont="1" applyAlignment="1">
      <alignment/>
    </xf>
    <xf numFmtId="182" fontId="32" fillId="0" borderId="0" xfId="0" applyNumberFormat="1" applyFont="1" applyAlignment="1">
      <alignment/>
    </xf>
    <xf numFmtId="167" fontId="32" fillId="0" borderId="0" xfId="0" applyNumberFormat="1" applyFont="1" applyAlignment="1">
      <alignment/>
    </xf>
    <xf numFmtId="179" fontId="32" fillId="0" borderId="28" xfId="18" applyNumberFormat="1" applyFont="1" applyFill="1" applyBorder="1" applyAlignment="1">
      <alignment/>
    </xf>
    <xf numFmtId="0" fontId="32" fillId="0" borderId="6" xfId="0" applyNumberFormat="1" applyFont="1" applyFill="1" applyBorder="1"/>
    <xf numFmtId="3" fontId="32" fillId="0" borderId="0" xfId="0" applyNumberFormat="1" applyFont="1" applyFill="1" applyAlignment="1">
      <alignment horizontal="center"/>
    </xf>
    <xf numFmtId="49" fontId="32" fillId="0" borderId="0" xfId="0" applyNumberFormat="1" applyFont="1" applyFill="1" applyBorder="1" applyAlignment="1">
      <alignment/>
    </xf>
    <xf numFmtId="49" fontId="32" fillId="0" borderId="0" xfId="0" applyNumberFormat="1" applyFont="1" applyFill="1" applyAlignment="1">
      <alignment/>
    </xf>
    <xf numFmtId="49" fontId="32" fillId="0" borderId="0" xfId="0" applyNumberFormat="1" applyFont="1" applyFill="1" applyAlignment="1">
      <alignment horizontal="center"/>
    </xf>
    <xf numFmtId="165" fontId="32" fillId="0" borderId="0" xfId="0" applyNumberFormat="1" applyFont="1" applyFill="1" applyAlignment="1">
      <alignment horizontal="right"/>
    </xf>
    <xf numFmtId="165" fontId="32" fillId="0" borderId="0" xfId="0" applyNumberFormat="1" applyFont="1" applyFill="1"/>
    <xf numFmtId="166" fontId="32" fillId="0" borderId="0" xfId="0" applyNumberFormat="1" applyFont="1" applyFill="1"/>
    <xf numFmtId="3" fontId="32" fillId="0" borderId="0" xfId="0" applyNumberFormat="1" applyFont="1" applyAlignment="1">
      <alignment horizontal="center"/>
    </xf>
    <xf numFmtId="3" fontId="32" fillId="0" borderId="6" xfId="0" applyNumberFormat="1" applyFont="1" applyBorder="1" applyAlignment="1">
      <alignment/>
    </xf>
    <xf numFmtId="4" fontId="32" fillId="0" borderId="0" xfId="0" applyNumberFormat="1" applyFont="1" applyAlignment="1">
      <alignment/>
    </xf>
    <xf numFmtId="3" fontId="32" fillId="0" borderId="0" xfId="0" applyNumberFormat="1" applyFont="1" applyBorder="1" applyAlignment="1">
      <alignment horizontal="center"/>
    </xf>
    <xf numFmtId="3" fontId="32" fillId="0" borderId="0" xfId="0" applyNumberFormat="1" applyFont="1" applyAlignment="1" quotePrefix="1">
      <alignment/>
    </xf>
    <xf numFmtId="3" fontId="33" fillId="0" borderId="0" xfId="0" applyNumberFormat="1" applyFont="1" applyAlignment="1">
      <alignment horizontal="center"/>
    </xf>
    <xf numFmtId="166" fontId="32" fillId="0" borderId="0" xfId="0" applyNumberFormat="1" applyFont="1" applyFill="1" applyAlignment="1">
      <alignment horizontal="center"/>
    </xf>
    <xf numFmtId="164" fontId="32" fillId="0" borderId="0" xfId="0" applyNumberFormat="1" applyFont="1" applyFill="1" applyAlignment="1">
      <alignment horizontal="center"/>
    </xf>
    <xf numFmtId="43" fontId="32" fillId="20" borderId="0" xfId="18" applyFont="1" applyFill="1" applyAlignment="1">
      <alignment/>
    </xf>
    <xf numFmtId="3" fontId="78" fillId="0" borderId="0" xfId="0" applyNumberFormat="1" applyFont="1" applyAlignment="1">
      <alignment/>
    </xf>
    <xf numFmtId="174" fontId="78" fillId="0" borderId="0" xfId="0" applyFont="1" applyAlignment="1">
      <alignment/>
    </xf>
    <xf numFmtId="174" fontId="36" fillId="0" borderId="0" xfId="0" applyFont="1" applyAlignment="1">
      <alignment/>
    </xf>
    <xf numFmtId="0" fontId="32" fillId="0" borderId="6" xfId="0" applyNumberFormat="1" applyFont="1" applyBorder="1" applyAlignment="1">
      <alignment/>
    </xf>
    <xf numFmtId="43" fontId="32" fillId="20" borderId="6" xfId="18" applyFont="1" applyFill="1" applyBorder="1" applyAlignment="1">
      <alignment/>
    </xf>
    <xf numFmtId="3" fontId="36" fillId="0" borderId="0" xfId="0" applyNumberFormat="1" applyFont="1" applyAlignment="1">
      <alignment/>
    </xf>
    <xf numFmtId="174" fontId="32" fillId="0" borderId="0" xfId="0" applyFont="1" applyBorder="1" applyAlignment="1">
      <alignment/>
    </xf>
    <xf numFmtId="174" fontId="79" fillId="0" borderId="0" xfId="0" applyFont="1" applyBorder="1" applyAlignment="1">
      <alignment/>
    </xf>
    <xf numFmtId="3" fontId="79" fillId="0" borderId="0" xfId="0" applyNumberFormat="1" applyFont="1" applyBorder="1" applyAlignment="1">
      <alignment/>
    </xf>
    <xf numFmtId="0" fontId="79" fillId="0" borderId="0" xfId="0" applyNumberFormat="1" applyFont="1" applyBorder="1" applyAlignment="1">
      <alignment/>
    </xf>
    <xf numFmtId="174" fontId="80" fillId="0" borderId="0" xfId="0" applyFont="1" applyBorder="1" applyAlignment="1">
      <alignment/>
    </xf>
    <xf numFmtId="174" fontId="81" fillId="0" borderId="0" xfId="0" applyFont="1" applyBorder="1"/>
    <xf numFmtId="174" fontId="79" fillId="0" borderId="0" xfId="0" applyFont="1" applyBorder="1"/>
    <xf numFmtId="174" fontId="79" fillId="0" borderId="0" xfId="0" applyFont="1" applyBorder="1" applyAlignment="1">
      <alignment horizontal="left" wrapText="1"/>
    </xf>
    <xf numFmtId="9" fontId="32" fillId="0" borderId="0" xfId="0" applyNumberFormat="1" applyFont="1" applyAlignment="1">
      <alignment/>
    </xf>
    <xf numFmtId="169" fontId="32" fillId="0" borderId="0" xfId="0" applyNumberFormat="1" applyFont="1" applyAlignment="1">
      <alignment/>
    </xf>
    <xf numFmtId="184" fontId="32" fillId="20" borderId="0" xfId="18" applyNumberFormat="1" applyFont="1" applyFill="1" applyAlignment="1">
      <alignment/>
    </xf>
    <xf numFmtId="169" fontId="32" fillId="0" borderId="6" xfId="0" applyNumberFormat="1" applyFont="1" applyBorder="1" applyAlignment="1">
      <alignment/>
    </xf>
    <xf numFmtId="3" fontId="74" fillId="0" borderId="0" xfId="0" applyNumberFormat="1" applyFont="1" applyAlignment="1">
      <alignment/>
    </xf>
    <xf numFmtId="174" fontId="32" fillId="0" borderId="0" xfId="0" applyFont="1" applyFill="1" applyAlignment="1" applyProtection="1">
      <alignment/>
      <protection/>
    </xf>
    <xf numFmtId="179" fontId="32" fillId="20" borderId="0" xfId="18" applyNumberFormat="1" applyFont="1" applyFill="1" applyBorder="1" applyProtection="1">
      <protection locked="0"/>
    </xf>
    <xf numFmtId="38" fontId="32" fillId="0" borderId="0" xfId="0" applyNumberFormat="1" applyFont="1" applyAlignment="1" applyProtection="1">
      <alignment/>
      <protection/>
    </xf>
    <xf numFmtId="174" fontId="32" fillId="0" borderId="6" xfId="0" applyFont="1" applyBorder="1" applyAlignment="1">
      <alignment/>
    </xf>
    <xf numFmtId="0" fontId="32" fillId="0" borderId="6" xfId="0" applyNumberFormat="1" applyFont="1" applyBorder="1"/>
    <xf numFmtId="0" fontId="32" fillId="0" borderId="0" xfId="0" applyNumberFormat="1" applyFont="1" applyBorder="1"/>
    <xf numFmtId="179" fontId="32" fillId="20" borderId="6" xfId="18" applyNumberFormat="1" applyFont="1" applyFill="1" applyBorder="1" applyProtection="1">
      <protection locked="0"/>
    </xf>
    <xf numFmtId="38" fontId="32" fillId="0" borderId="0" xfId="0" applyNumberFormat="1" applyFont="1" applyAlignment="1">
      <alignment/>
    </xf>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Fill="1" applyAlignment="1" applyProtection="1">
      <alignment horizontal="right"/>
      <protection/>
    </xf>
    <xf numFmtId="1" fontId="32" fillId="0" borderId="0" xfId="0" applyNumberFormat="1" applyFont="1" applyFill="1" applyProtection="1">
      <protection/>
    </xf>
    <xf numFmtId="1" fontId="32" fillId="0" borderId="0" xfId="0" applyNumberFormat="1" applyFont="1" applyFill="1" applyAlignment="1" applyProtection="1">
      <alignment/>
      <protection/>
    </xf>
    <xf numFmtId="3" fontId="32" fillId="0" borderId="0" xfId="0" applyNumberFormat="1" applyFont="1" applyAlignment="1" applyProtection="1">
      <alignment/>
      <protection/>
    </xf>
    <xf numFmtId="3" fontId="32" fillId="0" borderId="0" xfId="0" applyNumberFormat="1" applyFont="1" applyBorder="1" applyAlignment="1">
      <alignment horizontal="left"/>
    </xf>
    <xf numFmtId="0" fontId="32" fillId="0" borderId="0" xfId="0" applyNumberFormat="1" applyFont="1" applyBorder="1" applyAlignment="1">
      <alignment/>
    </xf>
    <xf numFmtId="170" fontId="32" fillId="0" borderId="0" xfId="0" applyNumberFormat="1" applyFont="1" applyFill="1" applyBorder="1" applyAlignment="1" applyProtection="1">
      <alignment/>
      <protection locked="0"/>
    </xf>
    <xf numFmtId="3" fontId="32" fillId="0" borderId="0" xfId="0" applyNumberFormat="1" applyFont="1" applyFill="1" applyAlignment="1" applyProtection="1">
      <alignment horizontal="right"/>
      <protection locked="0"/>
    </xf>
    <xf numFmtId="174" fontId="32" fillId="0" borderId="0" xfId="0" applyNumberFormat="1" applyFont="1" applyBorder="1" applyAlignment="1">
      <alignment/>
    </xf>
    <xf numFmtId="170" fontId="32" fillId="0" borderId="0" xfId="0" applyNumberFormat="1" applyFont="1" applyFill="1" applyBorder="1" applyAlignment="1" applyProtection="1">
      <alignment/>
      <protection/>
    </xf>
    <xf numFmtId="174" fontId="32" fillId="0" borderId="0" xfId="0" applyNumberFormat="1" applyFont="1" applyAlignment="1">
      <alignment/>
    </xf>
    <xf numFmtId="174" fontId="32" fillId="0" borderId="0" xfId="0" applyNumberFormat="1" applyFont="1" applyFill="1" applyAlignment="1">
      <alignment/>
    </xf>
    <xf numFmtId="3" fontId="32" fillId="0" borderId="0" xfId="0" applyNumberFormat="1" applyFont="1" applyFill="1" applyAlignment="1" applyProtection="1">
      <alignment/>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3" fontId="32" fillId="0" borderId="0" xfId="0" applyNumberFormat="1" applyFont="1" applyFill="1" applyAlignment="1">
      <alignment horizontal="left"/>
    </xf>
    <xf numFmtId="0" fontId="32" fillId="0" borderId="0" xfId="0" applyNumberFormat="1" applyFont="1" applyFill="1" applyAlignment="1">
      <alignment horizontal="center" vertical="top" wrapText="1"/>
    </xf>
    <xf numFmtId="0" fontId="32" fillId="0" borderId="0" xfId="0" applyNumberFormat="1" applyFont="1" applyFill="1" applyAlignment="1">
      <alignment horizontal="left" vertical="top" wrapText="1" indent="8"/>
    </xf>
    <xf numFmtId="0" fontId="32" fillId="0" borderId="0" xfId="0" applyNumberFormat="1" applyFont="1" applyFill="1" applyAlignment="1">
      <alignment vertical="top" wrapText="1"/>
    </xf>
    <xf numFmtId="43" fontId="32" fillId="20" borderId="0" xfId="18" applyFont="1" applyFill="1" applyAlignment="1">
      <alignment vertical="top" wrapText="1"/>
    </xf>
    <xf numFmtId="174" fontId="32" fillId="0" borderId="0" xfId="0" applyFont="1" applyFill="1" applyAlignment="1">
      <alignment horizontal="center" vertical="top" wrapText="1"/>
    </xf>
    <xf numFmtId="174" fontId="32" fillId="0" borderId="0" xfId="0" applyFont="1" applyFill="1" applyAlignment="1">
      <alignment horizontal="left"/>
    </xf>
    <xf numFmtId="174" fontId="32" fillId="0" borderId="0" xfId="0" applyFont="1" applyFill="1" applyAlignment="1">
      <alignment horizontal="left" wrapText="1"/>
    </xf>
    <xf numFmtId="174" fontId="32" fillId="0" borderId="0" xfId="0" applyFont="1" applyFill="1" applyAlignment="1">
      <alignment horizontal="center" vertical="top"/>
    </xf>
    <xf numFmtId="174" fontId="32" fillId="0" borderId="0" xfId="0" applyFont="1" applyFill="1" applyBorder="1" applyAlignment="1">
      <alignment horizontal="center" vertical="top"/>
    </xf>
    <xf numFmtId="174" fontId="32" fillId="0" borderId="0" xfId="0" applyFont="1" applyAlignment="1">
      <alignment horizontal="left" wrapText="1"/>
    </xf>
    <xf numFmtId="174" fontId="70" fillId="0" borderId="0" xfId="0" applyFont="1" applyAlignment="1">
      <alignment horizontal="left" wrapText="1"/>
    </xf>
    <xf numFmtId="49" fontId="32" fillId="0" borderId="0" xfId="0" applyNumberFormat="1" applyFont="1" applyFill="1" applyBorder="1"/>
    <xf numFmtId="42" fontId="32" fillId="0" borderId="0" xfId="0" applyNumberFormat="1" applyFont="1" applyFill="1" applyBorder="1"/>
    <xf numFmtId="49" fontId="32" fillId="0" borderId="0"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0" xfId="0" applyNumberFormat="1" applyFont="1" applyFill="1" applyBorder="1" applyAlignment="1">
      <alignment horizontal="center"/>
    </xf>
    <xf numFmtId="0" fontId="32" fillId="0" borderId="0" xfId="0" applyNumberFormat="1" applyFont="1" applyFill="1" applyBorder="1" applyAlignment="1">
      <alignment/>
    </xf>
    <xf numFmtId="174" fontId="33" fillId="0" borderId="0" xfId="0" applyFont="1" applyFill="1" applyBorder="1" applyAlignment="1">
      <alignment horizontal="center"/>
    </xf>
    <xf numFmtId="3" fontId="33" fillId="0" borderId="0" xfId="0" applyNumberFormat="1" applyFont="1" applyFill="1" applyBorder="1" applyAlignment="1">
      <alignment/>
    </xf>
    <xf numFmtId="0" fontId="33" fillId="0" borderId="0" xfId="0" applyNumberFormat="1" applyFont="1" applyFill="1" applyBorder="1" applyAlignment="1">
      <alignment/>
    </xf>
    <xf numFmtId="164" fontId="32" fillId="0" borderId="0" xfId="0" applyNumberFormat="1" applyFont="1" applyFill="1" applyBorder="1" applyAlignment="1">
      <alignment horizontal="left"/>
    </xf>
    <xf numFmtId="166" fontId="32" fillId="0" borderId="0" xfId="0" applyNumberFormat="1" applyFont="1" applyFill="1" applyBorder="1" applyAlignment="1">
      <alignment horizontal="center"/>
    </xf>
    <xf numFmtId="0" fontId="32" fillId="0" borderId="0" xfId="0" applyNumberFormat="1" applyFont="1" applyFill="1" applyAlignment="1">
      <alignment horizontal="left" indent="1"/>
    </xf>
    <xf numFmtId="174" fontId="32" fillId="0" borderId="0" xfId="0" applyFont="1" applyFill="1" applyAlignment="1">
      <alignment horizontal="center"/>
    </xf>
    <xf numFmtId="9" fontId="32" fillId="0" borderId="0" xfId="15" applyFont="1" applyFill="1" applyBorder="1" applyAlignment="1">
      <alignment/>
    </xf>
    <xf numFmtId="1" fontId="72" fillId="0" borderId="0" xfId="18" applyNumberFormat="1" applyFont="1" applyFill="1" applyBorder="1" applyAlignment="1">
      <alignment/>
    </xf>
    <xf numFmtId="44" fontId="32" fillId="0" borderId="10" xfId="16" applyFont="1" applyFill="1" applyBorder="1" applyAlignment="1">
      <alignment/>
    </xf>
    <xf numFmtId="174" fontId="70" fillId="0" borderId="0" xfId="0" applyFont="1" applyFill="1" applyBorder="1" applyAlignment="1">
      <alignment horizontal="center" vertical="center"/>
    </xf>
    <xf numFmtId="10" fontId="75" fillId="0" borderId="0" xfId="15" applyNumberFormat="1" applyFont="1" applyAlignment="1">
      <alignment horizontal="left"/>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Fill="1" applyAlignment="1">
      <alignment horizontal="center" vertical="top" wrapText="1"/>
    </xf>
    <xf numFmtId="49" fontId="32" fillId="0" borderId="0" xfId="0" applyNumberFormat="1" applyFont="1" applyFill="1" applyBorder="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60" fillId="20" borderId="23" xfId="0" applyFont="1" applyFill="1" applyBorder="1" applyAlignment="1" applyProtection="1">
      <alignment horizontal="center" vertical="center" wrapText="1"/>
      <protection locked="0"/>
    </xf>
    <xf numFmtId="170" fontId="60" fillId="20" borderId="29" xfId="0" applyNumberFormat="1" applyFont="1" applyFill="1" applyBorder="1" applyAlignment="1" applyProtection="1">
      <alignment horizontal="center"/>
      <protection locked="0"/>
    </xf>
    <xf numFmtId="183" fontId="60" fillId="20" borderId="0" xfId="15" applyNumberFormat="1" applyFont="1" applyFill="1" applyProtection="1">
      <protection locked="0"/>
    </xf>
    <xf numFmtId="0" fontId="61" fillId="20" borderId="0" xfId="0" applyNumberFormat="1" applyFont="1" applyFill="1" applyAlignment="1" applyProtection="1">
      <alignment horizontal="left"/>
      <protection locked="0"/>
    </xf>
    <xf numFmtId="174" fontId="60" fillId="20" borderId="0" xfId="0" applyFont="1" applyFill="1" applyAlignment="1" applyProtection="1">
      <alignment horizontal="center"/>
      <protection locked="0"/>
    </xf>
    <xf numFmtId="174" fontId="60" fillId="20" borderId="0" xfId="0" applyFont="1" applyFill="1" applyProtection="1">
      <protection locked="0"/>
    </xf>
    <xf numFmtId="174" fontId="32" fillId="0" borderId="0" xfId="0" applyFont="1" applyFill="1" applyAlignment="1">
      <alignment/>
    </xf>
    <xf numFmtId="0" fontId="2" fillId="0" borderId="0" xfId="151">
      <alignment/>
      <protection/>
    </xf>
    <xf numFmtId="0" fontId="54" fillId="0" borderId="0" xfId="151" applyFont="1" applyAlignment="1">
      <alignment vertical="top"/>
      <protection/>
    </xf>
    <xf numFmtId="0" fontId="82" fillId="0" borderId="0" xfId="151" applyFont="1">
      <alignment/>
      <protection/>
    </xf>
    <xf numFmtId="0" fontId="54" fillId="0" borderId="0" xfId="152" applyFont="1" applyAlignment="1">
      <alignment horizontal="center" vertical="center"/>
      <protection/>
    </xf>
    <xf numFmtId="0" fontId="52" fillId="0" borderId="0" xfId="152" applyFont="1" applyAlignment="1">
      <alignment horizontal="right"/>
      <protection/>
    </xf>
    <xf numFmtId="0" fontId="2" fillId="0" borderId="0" xfId="151" applyAlignment="1">
      <alignment horizontal="center" vertical="center"/>
      <protection/>
    </xf>
    <xf numFmtId="0" fontId="83" fillId="0" borderId="0" xfId="153" applyFont="1" applyAlignment="1">
      <alignment horizontal="center"/>
      <protection/>
    </xf>
    <xf numFmtId="0" fontId="54" fillId="0" borderId="12" xfId="151" applyFont="1" applyBorder="1" applyAlignment="1">
      <alignment horizontal="center" vertical="center" wrapText="1"/>
      <protection/>
    </xf>
    <xf numFmtId="0" fontId="54" fillId="0" borderId="0" xfId="151" applyFont="1" applyAlignment="1">
      <alignment horizontal="center" vertical="center" wrapText="1"/>
      <protection/>
    </xf>
    <xf numFmtId="0" fontId="54" fillId="0" borderId="0" xfId="151" applyFont="1" applyAlignment="1">
      <alignment vertical="center" wrapText="1"/>
      <protection/>
    </xf>
    <xf numFmtId="0" fontId="54" fillId="0" borderId="0" xfId="151" applyFont="1" applyAlignment="1">
      <alignment horizontal="center" wrapText="1"/>
      <protection/>
    </xf>
    <xf numFmtId="0" fontId="2" fillId="20" borderId="0" xfId="151" applyFill="1" applyAlignment="1">
      <alignment horizontal="center"/>
      <protection/>
    </xf>
    <xf numFmtId="179" fontId="84" fillId="20" borderId="0" xfId="154" applyNumberFormat="1" applyFont="1" applyFill="1" applyAlignment="1">
      <alignment vertical="center"/>
    </xf>
    <xf numFmtId="179" fontId="2" fillId="0" borderId="0" xfId="151" applyNumberFormat="1">
      <alignment/>
      <protection/>
    </xf>
    <xf numFmtId="0" fontId="85" fillId="20" borderId="0" xfId="151" applyFont="1" applyFill="1">
      <alignment/>
      <protection/>
    </xf>
    <xf numFmtId="179" fontId="84" fillId="20" borderId="11" xfId="154" applyNumberFormat="1" applyFont="1" applyFill="1" applyBorder="1" applyAlignment="1">
      <alignment vertical="center"/>
    </xf>
    <xf numFmtId="179" fontId="2" fillId="0" borderId="11" xfId="151" applyNumberFormat="1" applyBorder="1">
      <alignment/>
      <protection/>
    </xf>
    <xf numFmtId="0" fontId="54" fillId="20" borderId="0" xfId="151" applyFont="1" applyFill="1">
      <alignment/>
      <protection/>
    </xf>
    <xf numFmtId="179" fontId="54" fillId="0" borderId="0" xfId="154" applyNumberFormat="1" applyFont="1" applyFill="1" applyBorder="1"/>
    <xf numFmtId="179" fontId="0" fillId="0" borderId="0" xfId="154" applyNumberFormat="1" applyFont="1"/>
    <xf numFmtId="0" fontId="54" fillId="0" borderId="0" xfId="151" applyFont="1">
      <alignment/>
      <protection/>
    </xf>
    <xf numFmtId="179" fontId="0" fillId="0" borderId="0" xfId="154" applyNumberFormat="1" applyFont="1" applyAlignment="1">
      <alignment horizontal="center"/>
    </xf>
    <xf numFmtId="179" fontId="84" fillId="20" borderId="0" xfId="154" applyNumberFormat="1" applyFont="1" applyFill="1" applyBorder="1" applyAlignment="1">
      <alignment vertical="center"/>
    </xf>
    <xf numFmtId="179" fontId="86" fillId="0" borderId="0" xfId="154" applyNumberFormat="1" applyFont="1" applyFill="1" applyBorder="1" applyAlignment="1">
      <alignment vertical="center"/>
    </xf>
    <xf numFmtId="179" fontId="54" fillId="0" borderId="0" xfId="154" applyNumberFormat="1" applyFont="1" applyFill="1"/>
    <xf numFmtId="179" fontId="54" fillId="0" borderId="0" xfId="151" applyNumberFormat="1" applyFont="1">
      <alignment/>
      <protection/>
    </xf>
    <xf numFmtId="0" fontId="2" fillId="0" borderId="0" xfId="151" applyAlignment="1">
      <alignment horizontal="center"/>
      <protection/>
    </xf>
    <xf numFmtId="179" fontId="54" fillId="20" borderId="0" xfId="154" applyNumberFormat="1" applyFont="1" applyFill="1"/>
    <xf numFmtId="0" fontId="2" fillId="0" borderId="0" xfId="151" applyAlignment="1">
      <alignment horizontal="left"/>
      <protection/>
    </xf>
    <xf numFmtId="0" fontId="2" fillId="0" borderId="0" xfId="151" applyAlignment="1">
      <alignment horizontal="center" vertical="top"/>
      <protection/>
    </xf>
    <xf numFmtId="0" fontId="2" fillId="0" borderId="0" xfId="151" applyAlignment="1">
      <alignment vertical="center"/>
      <protection/>
    </xf>
    <xf numFmtId="179" fontId="0" fillId="0" borderId="0" xfId="154" applyNumberFormat="1" applyFont="1" applyFill="1"/>
    <xf numFmtId="0" fontId="2" fillId="0" borderId="0" xfId="151" applyAlignment="1">
      <alignment horizontal="right"/>
      <protection/>
    </xf>
    <xf numFmtId="0" fontId="56" fillId="0" borderId="0" xfId="151" applyFont="1">
      <alignment/>
      <protection/>
    </xf>
    <xf numFmtId="183" fontId="60" fillId="0" borderId="0" xfId="0" applyNumberFormat="1" applyFont="1" applyProtection="1">
      <protection locked="0"/>
    </xf>
    <xf numFmtId="0" fontId="60" fillId="0" borderId="0" xfId="0" applyNumberFormat="1" applyFont="1" applyProtection="1">
      <protection locked="0"/>
    </xf>
    <xf numFmtId="0" fontId="60" fillId="0" borderId="0" xfId="0" applyNumberFormat="1" applyFont="1"/>
    <xf numFmtId="174" fontId="12" fillId="0" borderId="0" xfId="0" applyFont="1"/>
    <xf numFmtId="179" fontId="60" fillId="0" borderId="0" xfId="0" applyNumberFormat="1" applyFont="1" applyProtection="1">
      <protection locked="0"/>
    </xf>
    <xf numFmtId="174" fontId="60" fillId="0" borderId="0" xfId="0" applyFont="1" applyProtection="1">
      <protection locked="0"/>
    </xf>
    <xf numFmtId="179" fontId="61" fillId="0" borderId="0" xfId="0" applyNumberFormat="1" applyFont="1" applyProtection="1">
      <protection locked="0"/>
    </xf>
    <xf numFmtId="1" fontId="34" fillId="0" borderId="0" xfId="0" applyNumberFormat="1" applyFont="1" applyFill="1" applyAlignment="1">
      <alignment horizontal="center" vertical="top" wrapText="1"/>
    </xf>
    <xf numFmtId="0" fontId="32" fillId="0" borderId="0" xfId="0" applyNumberFormat="1" applyFont="1" applyFill="1" applyAlignment="1">
      <alignment horizontal="left" wrapText="1"/>
    </xf>
    <xf numFmtId="0" fontId="32" fillId="0" borderId="0" xfId="0" applyNumberFormat="1" applyFont="1" applyFill="1" applyAlignment="1">
      <alignment horizontal="left" vertical="center" wrapText="1"/>
    </xf>
    <xf numFmtId="3" fontId="32" fillId="0" borderId="0" xfId="0" applyNumberFormat="1" applyFont="1" applyAlignment="1">
      <alignment/>
    </xf>
    <xf numFmtId="174" fontId="33" fillId="0" borderId="0" xfId="0" applyFont="1" applyAlignment="1">
      <alignment/>
    </xf>
    <xf numFmtId="0" fontId="2" fillId="0" borderId="0" xfId="151" applyAlignment="1">
      <alignment vertical="top"/>
      <protection/>
    </xf>
    <xf numFmtId="179" fontId="0" fillId="0" borderId="0" xfId="154" applyNumberFormat="1" applyFont="1" applyFill="1" applyAlignment="1">
      <alignment vertical="top"/>
    </xf>
    <xf numFmtId="179" fontId="0" fillId="0" borderId="0" xfId="154" applyNumberFormat="1" applyFont="1" applyAlignment="1">
      <alignment vertical="top"/>
    </xf>
    <xf numFmtId="179" fontId="54" fillId="0" borderId="0" xfId="154" applyNumberFormat="1" applyFont="1" applyFill="1" applyBorder="1" applyAlignment="1">
      <alignment vertical="top"/>
    </xf>
    <xf numFmtId="175" fontId="60" fillId="0" borderId="29" xfId="16" applyNumberFormat="1" applyFont="1" applyFill="1" applyBorder="1" applyAlignment="1" applyProtection="1">
      <alignment horizontal="center"/>
      <protection locked="0"/>
    </xf>
    <xf numFmtId="174" fontId="12" fillId="0" borderId="0" xfId="0" applyFont="1" applyProtection="1">
      <protection locked="0"/>
    </xf>
    <xf numFmtId="174" fontId="60" fillId="0" borderId="0" xfId="0" applyFont="1" applyAlignment="1" applyProtection="1">
      <alignment horizontal="center"/>
      <protection locked="0"/>
    </xf>
    <xf numFmtId="174" fontId="61" fillId="0" borderId="0" xfId="0" applyFont="1" applyAlignment="1" applyProtection="1">
      <alignment horizontal="center"/>
      <protection locked="0"/>
    </xf>
    <xf numFmtId="174" fontId="60" fillId="0" borderId="0" xfId="0" applyFont="1" applyFill="1" applyAlignment="1" applyProtection="1">
      <alignment wrapText="1"/>
      <protection locked="0"/>
    </xf>
    <xf numFmtId="174" fontId="60" fillId="20" borderId="0" xfId="0" applyFont="1" applyFill="1" applyAlignment="1" applyProtection="1">
      <alignment vertical="center"/>
      <protection locked="0"/>
    </xf>
    <xf numFmtId="179" fontId="60" fillId="0" borderId="0" xfId="0" applyNumberFormat="1" applyFont="1" applyAlignment="1" applyProtection="1">
      <alignment vertical="center"/>
      <protection locked="0"/>
    </xf>
    <xf numFmtId="183" fontId="60" fillId="0" borderId="0" xfId="0" applyNumberFormat="1" applyFont="1" applyAlignment="1" applyProtection="1">
      <alignment vertical="center"/>
      <protection locked="0"/>
    </xf>
    <xf numFmtId="0" fontId="60" fillId="0" borderId="0" xfId="0" applyNumberFormat="1" applyFont="1" applyAlignment="1" applyProtection="1">
      <alignment vertical="center"/>
      <protection locked="0"/>
    </xf>
    <xf numFmtId="179" fontId="60" fillId="0" borderId="0" xfId="18" applyNumberFormat="1" applyFont="1" applyFill="1" applyAlignment="1" applyProtection="1">
      <alignment vertical="center"/>
      <protection locked="0"/>
    </xf>
    <xf numFmtId="179" fontId="61" fillId="0" borderId="0" xfId="18" applyNumberFormat="1" applyFont="1" applyFill="1" applyAlignment="1" applyProtection="1">
      <alignment vertical="center"/>
      <protection locked="0"/>
    </xf>
    <xf numFmtId="175" fontId="12" fillId="0" borderId="11" xfId="16" applyNumberFormat="1" applyFont="1" applyFill="1" applyBorder="1"/>
    <xf numFmtId="1" fontId="52" fillId="20" borderId="0" xfId="0" applyNumberFormat="1" applyFont="1" applyFill="1" applyBorder="1" applyAlignment="1">
      <alignment vertical="center"/>
    </xf>
    <xf numFmtId="10" fontId="32" fillId="0" borderId="0" xfId="15" applyNumberFormat="1" applyFont="1" applyAlignment="1">
      <alignment horizontal="right"/>
    </xf>
    <xf numFmtId="0" fontId="2" fillId="0" borderId="0" xfId="151" applyFill="1" applyAlignment="1">
      <alignment horizontal="center"/>
      <protection/>
    </xf>
    <xf numFmtId="0" fontId="32" fillId="0" borderId="0" xfId="0" applyNumberFormat="1" applyFont="1" applyAlignment="1">
      <alignment/>
    </xf>
    <xf numFmtId="0" fontId="2" fillId="0" borderId="0" xfId="151" applyFont="1" applyAlignment="1">
      <alignment vertical="top"/>
      <protection/>
    </xf>
    <xf numFmtId="49" fontId="33" fillId="0" borderId="0" xfId="0" applyNumberFormat="1" applyFont="1" applyFill="1" applyBorder="1" applyAlignment="1">
      <alignment horizontal="center"/>
    </xf>
    <xf numFmtId="0" fontId="32" fillId="0" borderId="0" xfId="0" applyNumberFormat="1" applyFont="1" applyFill="1" applyBorder="1" applyAlignment="1" applyProtection="1">
      <alignment horizontal="center"/>
      <protection locked="0"/>
    </xf>
    <xf numFmtId="174" fontId="32" fillId="0" borderId="0" xfId="0" applyFont="1" applyAlignment="1">
      <alignment horizontal="center"/>
    </xf>
    <xf numFmtId="0" fontId="2" fillId="0" borderId="0" xfId="151" applyFont="1" applyAlignment="1">
      <alignment vertical="top"/>
      <protection/>
    </xf>
    <xf numFmtId="179" fontId="32" fillId="0" borderId="0" xfId="18" applyNumberFormat="1" applyFont="1" applyAlignment="1">
      <alignment/>
    </xf>
    <xf numFmtId="174" fontId="32" fillId="0" borderId="15" xfId="0" applyFont="1" applyBorder="1" applyAlignment="1">
      <alignment horizontal="center"/>
    </xf>
    <xf numFmtId="174" fontId="32" fillId="20" borderId="0" xfId="0" applyFont="1" applyFill="1"/>
    <xf numFmtId="0" fontId="32" fillId="0" borderId="0" xfId="0" applyNumberFormat="1" applyFont="1" applyAlignment="1">
      <alignment horizontal="center"/>
    </xf>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186" fontId="32" fillId="20" borderId="0" xfId="18" applyNumberFormat="1" applyFont="1" applyFill="1"/>
    <xf numFmtId="0" fontId="73" fillId="0" borderId="0" xfId="0" applyNumberFormat="1" applyFont="1" applyFill="1" applyAlignment="1">
      <alignment vertical="center"/>
    </xf>
    <xf numFmtId="0" fontId="32" fillId="0" borderId="0" xfId="0" applyNumberFormat="1" applyFont="1" applyFill="1" applyAlignment="1">
      <alignment horizontal="center"/>
    </xf>
    <xf numFmtId="3" fontId="32" fillId="0" borderId="0" xfId="0" applyNumberFormat="1" applyFont="1" applyFill="1" applyAlignment="1">
      <alignment/>
    </xf>
    <xf numFmtId="179" fontId="32" fillId="0" borderId="6" xfId="18" applyNumberFormat="1" applyFont="1" applyBorder="1" applyAlignment="1">
      <alignment/>
    </xf>
    <xf numFmtId="164" fontId="32" fillId="0" borderId="0" xfId="0" applyNumberFormat="1" applyFont="1" applyAlignment="1">
      <alignment horizontal="center"/>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applyAlignment="1">
      <alignment/>
    </xf>
    <xf numFmtId="0" fontId="32" fillId="0" borderId="0" xfId="0" applyNumberFormat="1" applyFont="1" applyAlignment="1">
      <alignment horizontal="left"/>
    </xf>
    <xf numFmtId="165" fontId="32" fillId="0" borderId="0" xfId="0" applyNumberFormat="1" applyFont="1" applyAlignment="1">
      <alignment/>
    </xf>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applyAlignment="1">
      <alignment/>
    </xf>
    <xf numFmtId="176" fontId="32" fillId="0" borderId="0" xfId="0" applyNumberFormat="1" applyFont="1" applyFill="1" applyAlignment="1">
      <alignment/>
    </xf>
    <xf numFmtId="182" fontId="32" fillId="0" borderId="0" xfId="0" applyNumberFormat="1" applyFont="1" applyAlignment="1">
      <alignment/>
    </xf>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applyAlignment="1">
      <alignment/>
    </xf>
    <xf numFmtId="1" fontId="33" fillId="0" borderId="0" xfId="0" applyNumberFormat="1" applyFont="1" applyFill="1" applyBorder="1" applyAlignment="1">
      <alignment vertical="center"/>
    </xf>
    <xf numFmtId="0" fontId="33" fillId="0" borderId="12" xfId="0" applyNumberFormat="1" applyFont="1" applyFill="1" applyBorder="1" applyAlignment="1">
      <alignment horizontal="center" wrapText="1"/>
    </xf>
    <xf numFmtId="3" fontId="33" fillId="0" borderId="14" xfId="0" applyNumberFormat="1" applyFont="1" applyFill="1" applyBorder="1" applyAlignment="1">
      <alignment horizontal="center" wrapText="1"/>
    </xf>
    <xf numFmtId="3" fontId="32" fillId="0" borderId="14" xfId="0" applyNumberFormat="1" applyFont="1" applyFill="1" applyBorder="1" applyAlignment="1">
      <alignment horizontal="center"/>
    </xf>
    <xf numFmtId="175" fontId="36" fillId="0" borderId="0" xfId="16" applyNumberFormat="1" applyFont="1" applyFill="1" applyBorder="1" applyAlignment="1">
      <alignment/>
    </xf>
    <xf numFmtId="175" fontId="74" fillId="0" borderId="0" xfId="16" applyNumberFormat="1" applyFont="1" applyFill="1" applyBorder="1" applyAlignment="1">
      <alignment/>
    </xf>
    <xf numFmtId="174" fontId="33" fillId="0" borderId="0" xfId="0" applyFont="1" applyAlignment="1">
      <alignment vertical="center"/>
    </xf>
    <xf numFmtId="179" fontId="32" fillId="20" borderId="0" xfId="18" applyNumberFormat="1" applyFont="1" applyFill="1" applyAlignment="1">
      <alignment/>
    </xf>
    <xf numFmtId="179" fontId="32" fillId="0" borderId="0" xfId="15" applyNumberFormat="1" applyFont="1" applyAlignment="1">
      <alignment horizontal="right"/>
    </xf>
    <xf numFmtId="0" fontId="2" fillId="0" borderId="0" xfId="151" applyFill="1">
      <alignment/>
      <protection/>
    </xf>
    <xf numFmtId="179" fontId="84" fillId="0" borderId="0" xfId="154" applyNumberFormat="1" applyFont="1" applyFill="1" applyAlignment="1">
      <alignment vertical="center"/>
    </xf>
    <xf numFmtId="179" fontId="0" fillId="0" borderId="0" xfId="154" applyNumberFormat="1" applyFont="1"/>
    <xf numFmtId="179" fontId="84" fillId="0" borderId="11" xfId="154" applyNumberFormat="1" applyFont="1" applyFill="1" applyBorder="1" applyAlignment="1">
      <alignment vertical="center"/>
    </xf>
    <xf numFmtId="0" fontId="2" fillId="20" borderId="0" xfId="151" applyFont="1" applyFill="1" applyAlignment="1">
      <alignment horizontal="center"/>
      <protection/>
    </xf>
    <xf numFmtId="0" fontId="2" fillId="20" borderId="0" xfId="151" applyFont="1" applyFill="1">
      <alignment/>
      <protection/>
    </xf>
    <xf numFmtId="174" fontId="0" fillId="0" borderId="0" xfId="0"/>
    <xf numFmtId="0" fontId="85" fillId="0" borderId="0" xfId="151" applyFont="1">
      <alignment/>
      <protection/>
    </xf>
    <xf numFmtId="0" fontId="2" fillId="0" borderId="0" xfId="151" applyFont="1">
      <alignment/>
      <protection/>
    </xf>
    <xf numFmtId="0" fontId="2" fillId="0" borderId="0" xfId="151" applyFont="1" applyAlignment="1">
      <alignment vertical="top"/>
      <protection/>
    </xf>
    <xf numFmtId="49" fontId="32" fillId="0" borderId="0" xfId="0" applyNumberFormat="1" applyFont="1" applyFill="1" applyBorder="1" applyAlignment="1">
      <alignment horizont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7" fillId="0" borderId="0" xfId="156" applyNumberFormat="1" applyFont="1" applyAlignment="1">
      <alignment horizontal="center" wrapText="1"/>
      <protection/>
    </xf>
    <xf numFmtId="0" fontId="82" fillId="0" borderId="30" xfId="155" applyFont="1" applyBorder="1" applyAlignment="1">
      <alignment horizontal="center"/>
      <protection/>
    </xf>
    <xf numFmtId="37" fontId="2" fillId="0" borderId="31" xfId="155" applyNumberFormat="1" applyBorder="1">
      <alignment/>
      <protection/>
    </xf>
    <xf numFmtId="0" fontId="2" fillId="0" borderId="32" xfId="155" applyBorder="1">
      <alignment/>
      <protection/>
    </xf>
    <xf numFmtId="0" fontId="2" fillId="0" borderId="26" xfId="155" applyBorder="1">
      <alignment/>
      <protection/>
    </xf>
    <xf numFmtId="0" fontId="2" fillId="0" borderId="33" xfId="155" applyBorder="1">
      <alignment/>
      <protection/>
    </xf>
    <xf numFmtId="0" fontId="82" fillId="0" borderId="34" xfId="155" applyFont="1" applyBorder="1" applyAlignment="1">
      <alignment wrapText="1"/>
      <protection/>
    </xf>
    <xf numFmtId="0" fontId="82" fillId="0" borderId="0" xfId="155" applyFont="1" applyAlignment="1">
      <alignment horizontal="left" indent="2"/>
      <protection/>
    </xf>
    <xf numFmtId="0" fontId="2" fillId="0" borderId="0" xfId="155" applyAlignment="1">
      <alignment horizontal="center" wrapText="1"/>
      <protection/>
    </xf>
    <xf numFmtId="0" fontId="82" fillId="0" borderId="0" xfId="155" applyFont="1" applyAlignment="1">
      <alignment horizontal="center" wrapText="1"/>
      <protection/>
    </xf>
    <xf numFmtId="0" fontId="82" fillId="0" borderId="27" xfId="155" applyFont="1" applyBorder="1" applyAlignment="1">
      <alignment horizontal="center" wrapText="1"/>
      <protection/>
    </xf>
    <xf numFmtId="37" fontId="2" fillId="0" borderId="27" xfId="155" applyNumberFormat="1" applyBorder="1">
      <alignment/>
      <protection/>
    </xf>
    <xf numFmtId="37" fontId="2" fillId="0" borderId="34" xfId="155" applyNumberFormat="1" applyBorder="1">
      <alignment/>
      <protection/>
    </xf>
    <xf numFmtId="37" fontId="82" fillId="0" borderId="34" xfId="155" applyNumberFormat="1" applyFont="1" applyBorder="1" applyAlignment="1">
      <alignment wrapText="1"/>
      <protection/>
    </xf>
    <xf numFmtId="37" fontId="82" fillId="0" borderId="0" xfId="155" applyNumberFormat="1" applyFont="1">
      <alignment/>
      <protection/>
    </xf>
    <xf numFmtId="37" fontId="82" fillId="0" borderId="34" xfId="155" applyNumberFormat="1" applyFont="1" applyBorder="1">
      <alignment/>
      <protection/>
    </xf>
    <xf numFmtId="0" fontId="2" fillId="0" borderId="20" xfId="155" applyBorder="1">
      <alignment/>
      <protection/>
    </xf>
    <xf numFmtId="37" fontId="82" fillId="0" borderId="35" xfId="155" applyNumberFormat="1" applyFont="1" applyBorder="1">
      <alignment/>
      <protection/>
    </xf>
    <xf numFmtId="37" fontId="2" fillId="0" borderId="6" xfId="155" applyNumberFormat="1" applyBorder="1">
      <alignment/>
      <protection/>
    </xf>
    <xf numFmtId="37" fontId="82" fillId="0" borderId="6" xfId="155" applyNumberFormat="1" applyFont="1" applyBorder="1">
      <alignment/>
      <protection/>
    </xf>
    <xf numFmtId="37" fontId="2" fillId="0" borderId="36" xfId="155" applyNumberFormat="1" applyBorder="1">
      <alignment/>
      <protection/>
    </xf>
    <xf numFmtId="0" fontId="82" fillId="0" borderId="0" xfId="155" applyFont="1" applyAlignment="1">
      <alignment wrapText="1"/>
      <protection/>
    </xf>
    <xf numFmtId="179" fontId="82"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84"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82" fillId="0" borderId="0" xfId="155" applyNumberFormat="1" applyFont="1">
      <alignment/>
      <protection/>
    </xf>
    <xf numFmtId="179" fontId="2" fillId="0" borderId="0" xfId="18" applyNumberFormat="1" applyFont="1"/>
    <xf numFmtId="0" fontId="82" fillId="0" borderId="0" xfId="155" applyFont="1">
      <alignment/>
      <protection/>
    </xf>
    <xf numFmtId="0" fontId="82" fillId="0" borderId="0" xfId="155" applyFont="1" applyAlignment="1">
      <alignment vertical="top"/>
      <protection/>
    </xf>
    <xf numFmtId="0" fontId="82" fillId="0" borderId="0" xfId="155" applyFont="1" applyAlignment="1">
      <alignment horizontal="center"/>
      <protection/>
    </xf>
    <xf numFmtId="0" fontId="2" fillId="0" borderId="0" xfId="155" applyFill="1">
      <alignment/>
      <protection/>
    </xf>
    <xf numFmtId="174" fontId="52" fillId="0" borderId="0" xfId="0" applyFont="1" applyAlignment="1">
      <alignment horizontal="left" vertical="center"/>
    </xf>
    <xf numFmtId="0" fontId="2" fillId="0" borderId="0" xfId="155" applyFill="1" applyAlignment="1">
      <alignment horizontal="left" wrapText="1"/>
      <protection/>
    </xf>
    <xf numFmtId="174" fontId="54" fillId="0" borderId="0" xfId="0" applyFont="1" applyAlignment="1">
      <alignment horizontal="center" vertical="center"/>
    </xf>
    <xf numFmtId="174" fontId="32" fillId="0" borderId="0" xfId="0" applyFont="1" applyFill="1" applyBorder="1" applyAlignment="1">
      <alignment horizontal="left" vertical="top"/>
    </xf>
    <xf numFmtId="174" fontId="52" fillId="0" borderId="0" xfId="0" applyFont="1" applyFill="1" applyBorder="1" applyAlignment="1">
      <alignment vertical="center"/>
    </xf>
    <xf numFmtId="1" fontId="52" fillId="0" borderId="0" xfId="0" applyNumberFormat="1" applyFont="1" applyFill="1" applyAlignment="1">
      <alignment horizontal="right" vertical="center"/>
    </xf>
    <xf numFmtId="1" fontId="52" fillId="0" borderId="0" xfId="0" applyNumberFormat="1" applyFont="1" applyFill="1" applyAlignment="1">
      <alignment vertical="center"/>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0" xfId="0" applyNumberFormat="1" applyFont="1" applyBorder="1" applyAlignment="1">
      <alignment vertical="center"/>
    </xf>
    <xf numFmtId="1" fontId="52" fillId="0" borderId="0"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4" fontId="52" fillId="0" borderId="0" xfId="0" applyFont="1" applyFill="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Fill="1" applyAlignment="1">
      <alignment vertical="center"/>
    </xf>
    <xf numFmtId="174" fontId="65" fillId="0" borderId="0" xfId="0" applyFont="1" applyFill="1" applyAlignment="1">
      <alignment vertical="center"/>
    </xf>
    <xf numFmtId="179" fontId="52" fillId="20" borderId="0" xfId="18" applyNumberFormat="1" applyFont="1" applyFill="1" applyAlignment="1">
      <alignment horizontal="center" vertical="center"/>
    </xf>
    <xf numFmtId="0" fontId="2" fillId="0" borderId="0" xfId="155" applyFill="1" applyAlignment="1">
      <alignment horizontal="left"/>
      <protection/>
    </xf>
    <xf numFmtId="0" fontId="2" fillId="0" borderId="0" xfId="155" applyFont="1" applyFill="1" applyAlignment="1">
      <alignment horizontal="left"/>
      <protection/>
    </xf>
    <xf numFmtId="0" fontId="2" fillId="0" borderId="0" xfId="155" applyFont="1" applyFill="1">
      <alignment/>
      <protection/>
    </xf>
    <xf numFmtId="0" fontId="82" fillId="0" borderId="0" xfId="155" applyFont="1" applyFill="1" applyAlignment="1">
      <alignment vertical="top"/>
      <protection/>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2" xfId="0" applyNumberFormat="1" applyFont="1" applyFill="1" applyBorder="1" applyAlignment="1">
      <alignment horizontal="left" vertical="center"/>
    </xf>
    <xf numFmtId="1" fontId="54" fillId="22" borderId="35" xfId="0" applyNumberFormat="1" applyFont="1" applyFill="1" applyBorder="1" applyAlignment="1">
      <alignment horizontal="left" vertical="center"/>
    </xf>
    <xf numFmtId="1" fontId="52" fillId="0" borderId="34" xfId="0" applyNumberFormat="1" applyFont="1" applyBorder="1" applyAlignment="1">
      <alignment horizontal="center" vertical="center"/>
    </xf>
    <xf numFmtId="1" fontId="52" fillId="0" borderId="0" xfId="0" applyNumberFormat="1" applyFont="1" applyFill="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5"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3"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6" xfId="18" applyNumberFormat="1" applyFont="1" applyFill="1" applyBorder="1" applyAlignment="1">
      <alignment vertical="center"/>
    </xf>
    <xf numFmtId="174" fontId="52" fillId="0" borderId="0" xfId="0" applyFont="1" applyBorder="1" applyAlignment="1">
      <alignment horizontal="right" vertical="center"/>
    </xf>
    <xf numFmtId="174" fontId="52" fillId="0" borderId="0" xfId="0" applyFont="1" applyBorder="1" applyAlignment="1">
      <alignment horizontal="center"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 fontId="52" fillId="0" borderId="34" xfId="0" applyNumberFormat="1" applyFont="1" applyFill="1" applyBorder="1" applyAlignment="1">
      <alignment horizontal="center"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6" xfId="18" applyNumberFormat="1" applyFont="1" applyBorder="1" applyAlignment="1">
      <alignment horizontal="center" vertical="center"/>
    </xf>
    <xf numFmtId="1" fontId="0" fillId="0" borderId="0" xfId="0" applyNumberFormat="1" applyFont="1" applyAlignment="1">
      <alignment/>
    </xf>
    <xf numFmtId="174" fontId="0" fillId="0" borderId="0" xfId="0" applyFont="1" applyAlignment="1">
      <alignment/>
    </xf>
    <xf numFmtId="1" fontId="0" fillId="0" borderId="0" xfId="0" applyNumberFormat="1" applyFont="1" applyAlignment="1">
      <alignment horizontal="center" vertical="center"/>
    </xf>
    <xf numFmtId="1" fontId="0" fillId="0" borderId="0" xfId="0" applyNumberFormat="1" applyFont="1" applyFill="1" applyAlignment="1">
      <alignment/>
    </xf>
    <xf numFmtId="179" fontId="2" fillId="0" borderId="0" xfId="18" applyNumberFormat="1" applyFont="1" applyFill="1" applyBorder="1"/>
    <xf numFmtId="179" fontId="2" fillId="0" borderId="0" xfId="18" applyNumberFormat="1" applyFont="1" applyFill="1" applyBorder="1"/>
    <xf numFmtId="0" fontId="2" fillId="0" borderId="0" xfId="155" applyFill="1" applyAlignment="1">
      <alignment horizontal="center"/>
      <protection/>
    </xf>
    <xf numFmtId="179" fontId="2" fillId="0" borderId="0" xfId="155" applyNumberFormat="1" applyFill="1">
      <alignment/>
      <protection/>
    </xf>
    <xf numFmtId="0" fontId="2" fillId="0" borderId="0" xfId="155" applyFont="1" applyAlignment="1">
      <alignment horizontal="center" wrapText="1"/>
      <protection/>
    </xf>
    <xf numFmtId="174" fontId="84" fillId="0" borderId="0" xfId="0" applyFont="1" applyAlignment="1">
      <alignment/>
    </xf>
    <xf numFmtId="174" fontId="88" fillId="0" borderId="0" xfId="0" applyFont="1" applyAlignment="1">
      <alignment/>
    </xf>
    <xf numFmtId="1" fontId="88" fillId="0" borderId="0" xfId="0" applyNumberFormat="1" applyFont="1" applyAlignment="1">
      <alignment horizontal="center"/>
    </xf>
    <xf numFmtId="1" fontId="84" fillId="0" borderId="0" xfId="0" applyNumberFormat="1" applyFont="1" applyAlignment="1">
      <alignment horizontal="center"/>
    </xf>
    <xf numFmtId="174" fontId="84" fillId="20" borderId="0" xfId="0" applyFont="1" applyFill="1" applyAlignment="1">
      <alignment/>
    </xf>
    <xf numFmtId="2" fontId="84" fillId="20" borderId="0" xfId="0" applyNumberFormat="1" applyFont="1" applyFill="1" applyAlignment="1">
      <alignment horizontal="center"/>
    </xf>
    <xf numFmtId="1" fontId="84" fillId="20" borderId="0" xfId="0" applyNumberFormat="1" applyFont="1" applyFill="1" applyAlignment="1">
      <alignment horizontal="center"/>
    </xf>
    <xf numFmtId="174" fontId="84" fillId="0" borderId="0" xfId="0" applyFont="1" applyFill="1" applyAlignment="1">
      <alignment/>
    </xf>
    <xf numFmtId="174" fontId="32" fillId="0" borderId="0" xfId="0" applyFont="1" applyFill="1" applyAlignment="1">
      <alignment horizontal="center" vertical="top" wrapText="1"/>
    </xf>
    <xf numFmtId="179" fontId="84" fillId="0" borderId="0" xfId="18" applyNumberFormat="1" applyFont="1" applyAlignment="1">
      <alignment/>
    </xf>
    <xf numFmtId="179" fontId="88" fillId="0" borderId="0" xfId="18" applyNumberFormat="1" applyFont="1" applyAlignment="1">
      <alignment horizontal="center" wrapText="1"/>
    </xf>
    <xf numFmtId="1" fontId="88" fillId="0" borderId="0" xfId="18" applyNumberFormat="1" applyFont="1" applyAlignment="1">
      <alignment horizontal="center"/>
    </xf>
    <xf numFmtId="174" fontId="84" fillId="0" borderId="0" xfId="0" applyFont="1" applyAlignment="1">
      <alignment horizontal="center"/>
    </xf>
    <xf numFmtId="179" fontId="84" fillId="0" borderId="0" xfId="18" applyNumberFormat="1" applyFont="1" applyAlignment="1">
      <alignment horizontal="center"/>
    </xf>
    <xf numFmtId="179" fontId="84" fillId="20" borderId="0" xfId="18" applyNumberFormat="1" applyFont="1" applyFill="1" applyAlignment="1">
      <alignment/>
    </xf>
    <xf numFmtId="179" fontId="84" fillId="20" borderId="11" xfId="18" applyNumberFormat="1" applyFont="1" applyFill="1" applyBorder="1" applyAlignment="1">
      <alignment/>
    </xf>
    <xf numFmtId="2" fontId="84" fillId="0" borderId="0" xfId="0" applyNumberFormat="1" applyFont="1" applyFill="1" applyAlignment="1">
      <alignment horizontal="center"/>
    </xf>
    <xf numFmtId="37" fontId="2" fillId="0" borderId="34" xfId="155" applyNumberFormat="1" applyFill="1" applyBorder="1">
      <alignment/>
      <protection/>
    </xf>
    <xf numFmtId="37" fontId="2" fillId="0" borderId="0" xfId="155" applyNumberFormat="1" applyFill="1">
      <alignment/>
      <protection/>
    </xf>
    <xf numFmtId="179" fontId="2" fillId="0" borderId="0" xfId="18" applyNumberFormat="1" applyFont="1" applyFill="1"/>
    <xf numFmtId="175" fontId="32" fillId="0" borderId="0" xfId="16" applyNumberFormat="1" applyFont="1" applyFill="1"/>
    <xf numFmtId="42" fontId="32" fillId="0" borderId="0" xfId="0" applyNumberFormat="1" applyFont="1" applyFill="1" applyBorder="1" applyAlignment="1">
      <alignment horizontal="center"/>
    </xf>
    <xf numFmtId="179" fontId="84" fillId="0" borderId="11" xfId="18" applyNumberFormat="1" applyFont="1" applyBorder="1" applyAlignment="1">
      <alignment/>
    </xf>
    <xf numFmtId="0" fontId="2" fillId="0" borderId="0" xfId="155" applyFont="1">
      <alignment/>
      <protection/>
    </xf>
    <xf numFmtId="0" fontId="2" fillId="0" borderId="0" xfId="155" applyFont="1" applyAlignment="1">
      <alignment horizontal="left"/>
      <protection/>
    </xf>
    <xf numFmtId="0" fontId="2" fillId="20" borderId="0" xfId="155" applyFill="1" applyAlignment="1">
      <alignment horizontal="center"/>
      <protection/>
    </xf>
    <xf numFmtId="1" fontId="84" fillId="0" borderId="0" xfId="0" applyNumberFormat="1" applyFont="1" applyAlignment="1">
      <alignment horizontal="center" vertical="top"/>
    </xf>
    <xf numFmtId="174" fontId="84" fillId="0" borderId="0" xfId="0" applyFont="1" applyAlignment="1">
      <alignment vertical="top"/>
    </xf>
    <xf numFmtId="0" fontId="32" fillId="20" borderId="0" xfId="0" applyNumberFormat="1" applyFont="1" applyFill="1" applyAlignment="1">
      <alignment horizontal="right"/>
    </xf>
    <xf numFmtId="0" fontId="32" fillId="0" borderId="0" xfId="0" applyNumberFormat="1" applyFont="1" applyFill="1" applyAlignment="1">
      <alignment/>
    </xf>
    <xf numFmtId="49" fontId="89" fillId="0" borderId="0" xfId="18" applyNumberFormat="1" applyFont="1" applyFill="1" applyBorder="1" applyAlignment="1">
      <alignment horizontal="right" vertical="top"/>
    </xf>
    <xf numFmtId="179" fontId="72" fillId="0" borderId="0" xfId="18" applyNumberFormat="1" applyFont="1" applyFill="1" applyBorder="1" applyAlignment="1">
      <alignment vertical="top"/>
    </xf>
    <xf numFmtId="174" fontId="72" fillId="0" borderId="0" xfId="0" applyFont="1" applyFill="1" applyBorder="1" applyAlignment="1">
      <alignment horizontal="right"/>
    </xf>
    <xf numFmtId="174" fontId="72" fillId="0" borderId="0" xfId="0" applyFont="1" applyFill="1" applyBorder="1" applyAlignment="1">
      <alignment/>
    </xf>
    <xf numFmtId="0" fontId="32" fillId="0" borderId="0" xfId="0" applyNumberFormat="1" applyFont="1" applyFill="1" applyAlignment="1">
      <alignment horizontal="center" vertical="center"/>
    </xf>
    <xf numFmtId="174" fontId="32" fillId="0" borderId="0" xfId="0" applyFont="1" applyFill="1" applyAlignment="1">
      <alignment horizontal="center" vertical="center"/>
    </xf>
    <xf numFmtId="10" fontId="32" fillId="0" borderId="0" xfId="15" applyNumberFormat="1" applyFont="1" applyFill="1" applyAlignment="1">
      <alignment horizontal="right"/>
    </xf>
    <xf numFmtId="179" fontId="32" fillId="0" borderId="0" xfId="15" applyNumberFormat="1" applyFont="1" applyFill="1" applyAlignment="1">
      <alignment horizontal="right"/>
    </xf>
    <xf numFmtId="174" fontId="32" fillId="0" borderId="0" xfId="0" applyFont="1" applyFill="1" applyAlignment="1">
      <alignment horizontal="center" vertical="top"/>
    </xf>
    <xf numFmtId="179" fontId="32" fillId="20" borderId="6" xfId="18" applyNumberFormat="1" applyFont="1" applyFill="1" applyBorder="1" applyAlignment="1">
      <alignment/>
    </xf>
    <xf numFmtId="179" fontId="32" fillId="20" borderId="0" xfId="18" applyNumberFormat="1" applyFont="1" applyFill="1" applyBorder="1" applyProtection="1">
      <protection/>
    </xf>
    <xf numFmtId="179" fontId="32" fillId="20" borderId="0" xfId="18" applyNumberFormat="1" applyFont="1" applyFill="1" applyBorder="1" applyAlignment="1" applyProtection="1">
      <alignment/>
      <protection locked="0"/>
    </xf>
    <xf numFmtId="3" fontId="32" fillId="20" borderId="0" xfId="99" applyNumberFormat="1" applyFont="1" applyFill="1">
      <alignment/>
      <protection/>
    </xf>
    <xf numFmtId="174" fontId="36" fillId="20" borderId="0" xfId="0" applyFont="1" applyFill="1" applyAlignment="1">
      <alignment horizontal="left"/>
    </xf>
    <xf numFmtId="174" fontId="32" fillId="20" borderId="0" xfId="0" applyFont="1" applyFill="1" applyAlignment="1">
      <alignment horizontal="left"/>
    </xf>
    <xf numFmtId="1" fontId="32" fillId="20" borderId="0" xfId="0" applyNumberFormat="1" applyFont="1" applyFill="1" applyAlignment="1">
      <alignment horizontal="center"/>
    </xf>
    <xf numFmtId="0" fontId="2" fillId="20" borderId="0" xfId="151" applyFont="1" applyFill="1" applyAlignment="1">
      <alignment horizontal="center"/>
      <protection/>
    </xf>
    <xf numFmtId="179" fontId="53" fillId="0" borderId="0" xfId="18" applyNumberFormat="1" applyFont="1" applyFill="1" applyAlignment="1">
      <alignment vertical="center"/>
    </xf>
    <xf numFmtId="179" fontId="54" fillId="0" borderId="0" xfId="151" applyNumberFormat="1" applyFont="1" applyFill="1">
      <alignment/>
      <protection/>
    </xf>
    <xf numFmtId="179" fontId="2" fillId="0" borderId="0" xfId="151" applyNumberFormat="1" applyFill="1">
      <alignment/>
      <protection/>
    </xf>
    <xf numFmtId="174" fontId="33" fillId="0" borderId="0" xfId="0" applyFont="1" applyFill="1" applyAlignment="1">
      <alignment/>
    </xf>
    <xf numFmtId="10" fontId="32" fillId="20" borderId="0" xfId="15" applyNumberFormat="1" applyFont="1" applyFill="1" applyAlignment="1">
      <alignment vertical="top" wrapText="1"/>
    </xf>
    <xf numFmtId="170" fontId="52" fillId="0" borderId="0" xfId="0" applyNumberFormat="1" applyFont="1" applyAlignment="1">
      <alignment horizontal="center" vertical="center"/>
    </xf>
    <xf numFmtId="171" fontId="33" fillId="0" borderId="0" xfId="15" applyNumberFormat="1" applyFont="1" applyFill="1" applyAlignment="1">
      <alignment/>
    </xf>
    <xf numFmtId="0" fontId="2" fillId="20" borderId="0" xfId="155" applyFont="1" applyFill="1" applyAlignment="1">
      <alignment horizontal="center"/>
      <protection/>
    </xf>
    <xf numFmtId="0" fontId="82" fillId="0" borderId="0" xfId="155" applyFont="1" applyFill="1">
      <alignment/>
      <protection/>
    </xf>
    <xf numFmtId="0" fontId="82" fillId="0" borderId="0" xfId="155" applyFont="1" applyFill="1" applyAlignment="1">
      <alignment horizontal="center"/>
      <protection/>
    </xf>
    <xf numFmtId="179" fontId="54" fillId="0" borderId="0" xfId="18" applyNumberFormat="1" applyFont="1" applyFill="1" applyAlignment="1">
      <alignment vertical="center"/>
    </xf>
    <xf numFmtId="179" fontId="0" fillId="0" borderId="0" xfId="154" applyNumberFormat="1" applyFont="1" applyFill="1" applyAlignment="1">
      <alignment horizontal="center"/>
    </xf>
    <xf numFmtId="43" fontId="78" fillId="0" borderId="0" xfId="18" applyFont="1" applyFill="1" applyBorder="1" applyAlignment="1">
      <alignment vertical="top"/>
    </xf>
    <xf numFmtId="179" fontId="54" fillId="0" borderId="0" xfId="18" applyNumberFormat="1" applyFont="1" applyFill="1" applyAlignment="1">
      <alignment horizontal="center" vertical="center"/>
    </xf>
    <xf numFmtId="0" fontId="2" fillId="20" borderId="0" xfId="151" applyFont="1" applyFill="1" applyAlignment="1">
      <alignment horizontal="center"/>
      <protection/>
    </xf>
    <xf numFmtId="0" fontId="2" fillId="20" borderId="0" xfId="151" applyFont="1" applyFill="1">
      <alignment/>
      <protection/>
    </xf>
    <xf numFmtId="179" fontId="88" fillId="0" borderId="0" xfId="154" applyNumberFormat="1" applyFont="1" applyFill="1" applyBorder="1" applyAlignment="1">
      <alignment vertical="center"/>
    </xf>
    <xf numFmtId="0" fontId="2" fillId="0" borderId="0" xfId="151" applyFont="1">
      <alignment/>
      <protection/>
    </xf>
    <xf numFmtId="179" fontId="82" fillId="0" borderId="0" xfId="18" applyNumberFormat="1" applyFont="1" applyFill="1"/>
    <xf numFmtId="43" fontId="90" fillId="0" borderId="0" xfId="18" applyFont="1" applyFill="1" applyBorder="1" applyAlignment="1">
      <alignment vertical="top"/>
    </xf>
    <xf numFmtId="43" fontId="90" fillId="0" borderId="11" xfId="18" applyFont="1" applyFill="1" applyBorder="1" applyAlignment="1">
      <alignment vertical="top"/>
    </xf>
    <xf numFmtId="0" fontId="2" fillId="20" borderId="0" xfId="151" applyFont="1" applyFill="1" applyAlignment="1">
      <alignment horizontal="center"/>
      <protection/>
    </xf>
    <xf numFmtId="179" fontId="32" fillId="0" borderId="0" xfId="0" applyNumberFormat="1" applyFont="1"/>
    <xf numFmtId="174" fontId="32" fillId="0" borderId="0" xfId="0" applyFont="1" applyFill="1" applyAlignment="1">
      <alignment/>
    </xf>
    <xf numFmtId="44" fontId="32" fillId="0" borderId="0" xfId="0" applyNumberFormat="1" applyFont="1" applyFill="1"/>
    <xf numFmtId="3" fontId="33" fillId="0" borderId="0" xfId="0" applyNumberFormat="1" applyFont="1" applyFill="1" applyAlignment="1">
      <alignment/>
    </xf>
    <xf numFmtId="4" fontId="32" fillId="0" borderId="0" xfId="0" applyNumberFormat="1" applyFont="1" applyFill="1" applyAlignment="1">
      <alignment/>
    </xf>
    <xf numFmtId="169" fontId="32" fillId="0" borderId="0" xfId="0" applyNumberFormat="1" applyFont="1" applyFill="1" applyAlignment="1">
      <alignment/>
    </xf>
    <xf numFmtId="0" fontId="27" fillId="0" borderId="0" xfId="99" applyFont="1" applyFill="1">
      <alignment/>
      <protection/>
    </xf>
    <xf numFmtId="3" fontId="32" fillId="0" borderId="0" xfId="99" applyNumberFormat="1" applyFont="1" applyFill="1" applyAlignment="1">
      <alignment/>
      <protection/>
    </xf>
    <xf numFmtId="0" fontId="32" fillId="0" borderId="0" xfId="0" applyNumberFormat="1" applyFont="1" applyFill="1" applyAlignment="1">
      <alignment vertical="top" wrapText="1"/>
    </xf>
    <xf numFmtId="168" fontId="32" fillId="0" borderId="0" xfId="0" applyNumberFormat="1" applyFont="1" applyAlignment="1">
      <alignment horizontal="center"/>
    </xf>
    <xf numFmtId="174" fontId="32" fillId="0" borderId="0" xfId="0" applyFont="1" applyAlignment="1">
      <alignment horizontal="center"/>
    </xf>
    <xf numFmtId="174" fontId="32" fillId="0" borderId="0" xfId="0" applyFont="1" applyFill="1" applyAlignment="1">
      <alignment/>
    </xf>
    <xf numFmtId="174" fontId="32" fillId="0" borderId="0" xfId="0" applyFont="1" applyFill="1" applyAlignment="1">
      <alignment horizontal="left"/>
    </xf>
    <xf numFmtId="0" fontId="32" fillId="0" borderId="0" xfId="0" applyNumberFormat="1" applyFont="1" applyFill="1" applyBorder="1" applyAlignment="1">
      <alignment horizontal="left" wrapText="1"/>
    </xf>
    <xf numFmtId="0" fontId="32" fillId="0" borderId="0" xfId="0" applyNumberFormat="1" applyFont="1" applyFill="1" applyBorder="1" applyAlignment="1">
      <alignment horizontal="left"/>
    </xf>
    <xf numFmtId="0" fontId="32" fillId="0" borderId="0" xfId="0" applyNumberFormat="1" applyFont="1" applyFill="1" applyBorder="1" applyAlignment="1">
      <alignment horizontal="left" vertical="top" wrapText="1"/>
    </xf>
    <xf numFmtId="0" fontId="32" fillId="0" borderId="0" xfId="0" applyNumberFormat="1" applyFont="1" applyFill="1" applyBorder="1" applyAlignment="1">
      <alignment horizontal="left" vertical="top" wrapText="1"/>
    </xf>
    <xf numFmtId="0" fontId="32" fillId="0" borderId="0" xfId="0" applyNumberFormat="1" applyFont="1" applyFill="1" applyAlignment="1">
      <alignment horizontal="left" vertical="top" wrapText="1"/>
    </xf>
    <xf numFmtId="0" fontId="32" fillId="0" borderId="0" xfId="0" applyNumberFormat="1" applyFont="1" applyFill="1" applyAlignment="1">
      <alignment horizontal="left" wrapText="1"/>
    </xf>
    <xf numFmtId="0" fontId="79" fillId="0" borderId="0" xfId="0" applyNumberFormat="1" applyFont="1" applyBorder="1" applyAlignment="1">
      <alignment horizontal="center"/>
    </xf>
    <xf numFmtId="0" fontId="32" fillId="0" borderId="0" xfId="0" applyNumberFormat="1" applyFont="1" applyFill="1" applyAlignment="1">
      <alignment vertical="top" wrapText="1"/>
    </xf>
    <xf numFmtId="174" fontId="32" fillId="0" borderId="0" xfId="0" applyFont="1" applyFill="1" applyAlignment="1">
      <alignment vertical="top" wrapText="1"/>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Fill="1" applyBorder="1" applyAlignment="1">
      <alignment horizontal="center"/>
    </xf>
    <xf numFmtId="49" fontId="32" fillId="0" borderId="0" xfId="0" applyNumberFormat="1" applyFont="1" applyFill="1" applyBorder="1" applyAlignment="1">
      <alignment horizontal="center"/>
    </xf>
    <xf numFmtId="49" fontId="32" fillId="0" borderId="0" xfId="0" applyNumberFormat="1" applyFont="1" applyFill="1" applyBorder="1" applyAlignment="1">
      <alignment horizontal="left" vertical="top" wrapText="1"/>
    </xf>
    <xf numFmtId="174" fontId="32" fillId="0" borderId="0" xfId="0" applyFont="1" applyFill="1" applyBorder="1" applyAlignment="1">
      <alignment horizontal="left" vertical="center"/>
    </xf>
    <xf numFmtId="174" fontId="32" fillId="0" borderId="0" xfId="0" applyFont="1" applyFill="1" applyBorder="1" applyAlignment="1">
      <alignment horizontal="left"/>
    </xf>
    <xf numFmtId="174" fontId="33" fillId="0" borderId="0" xfId="0" applyFont="1" applyFill="1" applyBorder="1" applyAlignment="1">
      <alignment horizontal="center"/>
    </xf>
    <xf numFmtId="3" fontId="32" fillId="0" borderId="0" xfId="0" applyNumberFormat="1" applyFont="1" applyFill="1" applyBorder="1" applyAlignment="1" applyProtection="1">
      <alignment horizontal="center"/>
      <protection locked="0"/>
    </xf>
    <xf numFmtId="3" fontId="32" fillId="0" borderId="0" xfId="0" applyNumberFormat="1" applyFont="1" applyFill="1" applyBorder="1" applyAlignment="1">
      <alignment horizontal="center"/>
    </xf>
    <xf numFmtId="174" fontId="32" fillId="0" borderId="0" xfId="0" applyFont="1" applyFill="1" applyBorder="1" applyAlignment="1">
      <alignment horizontal="left" wrapText="1"/>
    </xf>
    <xf numFmtId="0" fontId="32" fillId="0" borderId="0" xfId="0" applyNumberFormat="1" applyFont="1" applyFill="1" applyBorder="1" applyAlignment="1" applyProtection="1">
      <alignment horizontal="center"/>
      <protection locked="0"/>
    </xf>
    <xf numFmtId="174" fontId="32" fillId="0" borderId="0" xfId="0" applyFont="1" applyFill="1" applyAlignment="1">
      <alignment horizontal="left" vertical="top" wrapText="1"/>
    </xf>
    <xf numFmtId="174" fontId="32" fillId="0" borderId="0" xfId="0" applyFont="1" applyAlignment="1">
      <alignment horizontal="left" vertical="top" wrapText="1"/>
    </xf>
    <xf numFmtId="174" fontId="32" fillId="0" borderId="0" xfId="0" applyFont="1" applyAlignment="1">
      <alignment horizontal="left" wrapText="1"/>
    </xf>
    <xf numFmtId="174" fontId="33" fillId="0" borderId="0" xfId="0" applyFont="1" applyAlignment="1">
      <alignment horizontal="center"/>
    </xf>
    <xf numFmtId="174" fontId="32" fillId="0" borderId="0" xfId="0" applyFont="1" applyAlignment="1">
      <alignment horizontal="center"/>
    </xf>
    <xf numFmtId="0" fontId="2" fillId="0" borderId="0" xfId="151" applyAlignment="1">
      <alignment horizontal="left" vertical="top" wrapText="1"/>
      <protection/>
    </xf>
    <xf numFmtId="174" fontId="33" fillId="0" borderId="0" xfId="0" applyFont="1" applyAlignment="1">
      <alignment horizontal="center" vertical="center"/>
    </xf>
    <xf numFmtId="174" fontId="33" fillId="0" borderId="0" xfId="0" applyFont="1" applyFill="1" applyBorder="1" applyAlignment="1">
      <alignment horizontal="center" vertical="center"/>
    </xf>
    <xf numFmtId="0" fontId="61" fillId="0" borderId="0" xfId="0" applyNumberFormat="1" applyFont="1" applyFill="1" applyAlignment="1" applyProtection="1">
      <alignment horizontal="center"/>
      <protection locked="0"/>
    </xf>
    <xf numFmtId="0" fontId="60" fillId="0" borderId="0" xfId="0" applyNumberFormat="1" applyFont="1" applyFill="1" applyAlignment="1" applyProtection="1">
      <alignment horizontal="left" wrapText="1"/>
      <protection locked="0"/>
    </xf>
    <xf numFmtId="174" fontId="52" fillId="0" borderId="0" xfId="0" applyFont="1" applyAlignment="1">
      <alignment horizontal="left" vertical="top" wrapText="1"/>
    </xf>
    <xf numFmtId="174" fontId="52" fillId="0" borderId="0" xfId="0" applyFont="1" applyAlignment="1">
      <alignment horizontal="left" vertical="center"/>
    </xf>
    <xf numFmtId="0" fontId="82" fillId="20" borderId="31" xfId="155" applyFont="1" applyFill="1" applyBorder="1" applyAlignment="1">
      <alignment horizontal="center"/>
      <protection/>
    </xf>
    <xf numFmtId="0" fontId="82" fillId="20" borderId="37" xfId="155" applyFont="1" applyFill="1" applyBorder="1" applyAlignment="1">
      <alignment horizontal="center"/>
      <protection/>
    </xf>
    <xf numFmtId="0" fontId="2" fillId="20" borderId="0" xfId="155" applyFont="1" applyFill="1" applyAlignment="1">
      <alignment horizontal="center" wrapText="1"/>
      <protection/>
    </xf>
    <xf numFmtId="0" fontId="2" fillId="20" borderId="0" xfId="155" applyFill="1" applyAlignment="1">
      <alignment horizontal="center" wrapText="1"/>
      <protection/>
    </xf>
    <xf numFmtId="179" fontId="88" fillId="0" borderId="0" xfId="18" applyNumberFormat="1" applyFont="1" applyAlignment="1">
      <alignment horizontal="center"/>
    </xf>
    <xf numFmtId="174" fontId="84"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8" fillId="0" borderId="0" xfId="145" applyFont="1" applyAlignment="1">
      <alignment horizontal="left" vertical="top" wrapText="1"/>
      <protection/>
    </xf>
    <xf numFmtId="0" fontId="1" fillId="0" borderId="0" xfId="145" applyFont="1" applyAlignment="1">
      <alignment horizontal="left" vertical="center" wrapText="1"/>
      <protection/>
    </xf>
  </cellXfs>
  <cellStyles count="145">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calcChain" Target="calcChain.xml" /><Relationship Id="rId87" Type="http://schemas.openxmlformats.org/officeDocument/2006/relationships/externalLink" Target="externalLinks/externalLink59.xml" /><Relationship Id="rId100" Type="http://schemas.openxmlformats.org/officeDocument/2006/relationships/externalLink" Target="externalLinks/externalLink72.xml" /><Relationship Id="rId79" Type="http://schemas.openxmlformats.org/officeDocument/2006/relationships/externalLink" Target="externalLinks/externalLink51.xml" /><Relationship Id="rId84" Type="http://schemas.openxmlformats.org/officeDocument/2006/relationships/externalLink" Target="externalLinks/externalLink56.xml" /><Relationship Id="rId3" Type="http://schemas.openxmlformats.org/officeDocument/2006/relationships/worksheet" Target="worksheets/sheet2.xml" /><Relationship Id="rId64" Type="http://schemas.openxmlformats.org/officeDocument/2006/relationships/externalLink" Target="externalLinks/externalLink36.xml" /><Relationship Id="rId68" Type="http://schemas.openxmlformats.org/officeDocument/2006/relationships/externalLink" Target="externalLinks/externalLink40.xml" /><Relationship Id="rId75" Type="http://schemas.openxmlformats.org/officeDocument/2006/relationships/externalLink" Target="externalLinks/externalLink47.xml" /><Relationship Id="rId65" Type="http://schemas.openxmlformats.org/officeDocument/2006/relationships/externalLink" Target="externalLinks/externalLink37.xml" /><Relationship Id="rId80" Type="http://schemas.openxmlformats.org/officeDocument/2006/relationships/externalLink" Target="externalLinks/externalLink52.xml" /><Relationship Id="rId48" Type="http://schemas.openxmlformats.org/officeDocument/2006/relationships/externalLink" Target="externalLinks/externalLink20.xml" /><Relationship Id="rId49" Type="http://schemas.openxmlformats.org/officeDocument/2006/relationships/externalLink" Target="externalLinks/externalLink21.xml" /><Relationship Id="rId44" Type="http://schemas.openxmlformats.org/officeDocument/2006/relationships/externalLink" Target="externalLinks/externalLink16.xml" /><Relationship Id="rId45" Type="http://schemas.openxmlformats.org/officeDocument/2006/relationships/externalLink" Target="externalLinks/externalLink17.xml" /><Relationship Id="rId46" Type="http://schemas.openxmlformats.org/officeDocument/2006/relationships/externalLink" Target="externalLinks/externalLink18.xml" /><Relationship Id="rId47" Type="http://schemas.openxmlformats.org/officeDocument/2006/relationships/externalLink" Target="externalLinks/externalLink19.xml" /><Relationship Id="rId40" Type="http://schemas.openxmlformats.org/officeDocument/2006/relationships/externalLink" Target="externalLinks/externalLink12.xml" /><Relationship Id="rId41" Type="http://schemas.openxmlformats.org/officeDocument/2006/relationships/externalLink" Target="externalLinks/externalLink13.xml" /><Relationship Id="rId42" Type="http://schemas.openxmlformats.org/officeDocument/2006/relationships/externalLink" Target="externalLinks/externalLink14.xml" /><Relationship Id="rId43" Type="http://schemas.openxmlformats.org/officeDocument/2006/relationships/externalLink" Target="externalLinks/externalLink15.xml" /><Relationship Id="rId86" Type="http://schemas.openxmlformats.org/officeDocument/2006/relationships/externalLink" Target="externalLinks/externalLink58.xml" /><Relationship Id="rId28" Type="http://schemas.openxmlformats.org/officeDocument/2006/relationships/customXml" Target="../customXml/item3.xml" /><Relationship Id="rId29" Type="http://schemas.openxmlformats.org/officeDocument/2006/relationships/externalLink" Target="externalLinks/externalLink1.xml" /><Relationship Id="rId81" Type="http://schemas.openxmlformats.org/officeDocument/2006/relationships/externalLink" Target="externalLinks/externalLink53.xml" /><Relationship Id="rId82" Type="http://schemas.openxmlformats.org/officeDocument/2006/relationships/externalLink" Target="externalLinks/externalLink54.xml" /><Relationship Id="rId24" Type="http://schemas.openxmlformats.org/officeDocument/2006/relationships/styles" Target="styles.xml" /><Relationship Id="rId25" Type="http://schemas.openxmlformats.org/officeDocument/2006/relationships/sharedStrings" Target="sharedStrings.xml" /><Relationship Id="rId26" Type="http://schemas.openxmlformats.org/officeDocument/2006/relationships/customXml" Target="../customXml/item1.xml" /><Relationship Id="rId27" Type="http://schemas.openxmlformats.org/officeDocument/2006/relationships/customXml" Target="../customXml/item2.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66" Type="http://schemas.openxmlformats.org/officeDocument/2006/relationships/externalLink" Target="externalLinks/externalLink38.xml" /><Relationship Id="rId67" Type="http://schemas.openxmlformats.org/officeDocument/2006/relationships/externalLink" Target="externalLinks/externalLink39.xml" /><Relationship Id="rId60" Type="http://schemas.openxmlformats.org/officeDocument/2006/relationships/externalLink" Target="externalLinks/externalLink32.xml" /><Relationship Id="rId61" Type="http://schemas.openxmlformats.org/officeDocument/2006/relationships/externalLink" Target="externalLinks/externalLink33.xml" /><Relationship Id="rId62" Type="http://schemas.openxmlformats.org/officeDocument/2006/relationships/externalLink" Target="externalLinks/externalLink34.xml" /><Relationship Id="rId63" Type="http://schemas.openxmlformats.org/officeDocument/2006/relationships/externalLink" Target="externalLinks/externalLink35.xml" /><Relationship Id="rId7" Type="http://schemas.openxmlformats.org/officeDocument/2006/relationships/worksheet" Target="worksheets/sheet6.xml" /><Relationship Id="rId93" Type="http://schemas.openxmlformats.org/officeDocument/2006/relationships/externalLink" Target="externalLinks/externalLink65.xml" /><Relationship Id="rId99" Type="http://schemas.openxmlformats.org/officeDocument/2006/relationships/externalLink" Target="externalLinks/externalLink71.xml" /><Relationship Id="rId1" Type="http://schemas.openxmlformats.org/officeDocument/2006/relationships/theme" Target="theme/theme1.xml" /><Relationship Id="rId13" Type="http://schemas.openxmlformats.org/officeDocument/2006/relationships/worksheet" Target="worksheets/sheet12.xml" /><Relationship Id="rId95" Type="http://schemas.openxmlformats.org/officeDocument/2006/relationships/externalLink" Target="externalLinks/externalLink67.xml" /><Relationship Id="rId5" Type="http://schemas.openxmlformats.org/officeDocument/2006/relationships/worksheet" Target="worksheets/sheet4.xml" /><Relationship Id="rId9" Type="http://schemas.openxmlformats.org/officeDocument/2006/relationships/worksheet" Target="worksheets/sheet8.xml" /><Relationship Id="rId89" Type="http://schemas.openxmlformats.org/officeDocument/2006/relationships/externalLink" Target="externalLinks/externalLink61.xml" /><Relationship Id="rId78" Type="http://schemas.openxmlformats.org/officeDocument/2006/relationships/externalLink" Target="externalLinks/externalLink50.xml" /><Relationship Id="rId38" Type="http://schemas.openxmlformats.org/officeDocument/2006/relationships/externalLink" Target="externalLinks/externalLink10.xml" /><Relationship Id="rId39" Type="http://schemas.openxmlformats.org/officeDocument/2006/relationships/externalLink" Target="externalLinks/externalLink11.xml" /><Relationship Id="rId34" Type="http://schemas.openxmlformats.org/officeDocument/2006/relationships/externalLink" Target="externalLinks/externalLink6.xml" /><Relationship Id="rId35" Type="http://schemas.openxmlformats.org/officeDocument/2006/relationships/externalLink" Target="externalLinks/externalLink7.xml" /><Relationship Id="rId36" Type="http://schemas.openxmlformats.org/officeDocument/2006/relationships/externalLink" Target="externalLinks/externalLink8.xml" /><Relationship Id="rId37" Type="http://schemas.openxmlformats.org/officeDocument/2006/relationships/externalLink" Target="externalLinks/externalLink9.xml" /><Relationship Id="rId30" Type="http://schemas.openxmlformats.org/officeDocument/2006/relationships/externalLink" Target="externalLinks/externalLink2.xml" /><Relationship Id="rId31" Type="http://schemas.openxmlformats.org/officeDocument/2006/relationships/externalLink" Target="externalLinks/externalLink3.xml" /><Relationship Id="rId32" Type="http://schemas.openxmlformats.org/officeDocument/2006/relationships/externalLink" Target="externalLinks/externalLink4.xml" /><Relationship Id="rId33" Type="http://schemas.openxmlformats.org/officeDocument/2006/relationships/externalLink" Target="externalLinks/externalLink5.xml" /><Relationship Id="rId74" Type="http://schemas.openxmlformats.org/officeDocument/2006/relationships/externalLink" Target="externalLinks/externalLink46.xml" /><Relationship Id="rId77" Type="http://schemas.openxmlformats.org/officeDocument/2006/relationships/externalLink" Target="externalLinks/externalLink49.xml" /><Relationship Id="rId70" Type="http://schemas.openxmlformats.org/officeDocument/2006/relationships/externalLink" Target="externalLinks/externalLink42.xml" /><Relationship Id="rId69" Type="http://schemas.openxmlformats.org/officeDocument/2006/relationships/externalLink" Target="externalLinks/externalLink41.xml" /><Relationship Id="rId72" Type="http://schemas.openxmlformats.org/officeDocument/2006/relationships/externalLink" Target="externalLinks/externalLink44.xml" /><Relationship Id="rId73" Type="http://schemas.openxmlformats.org/officeDocument/2006/relationships/externalLink" Target="externalLinks/externalLink45.xml" /><Relationship Id="rId83" Type="http://schemas.openxmlformats.org/officeDocument/2006/relationships/externalLink" Target="externalLinks/externalLink55.xml" /><Relationship Id="rId76" Type="http://schemas.openxmlformats.org/officeDocument/2006/relationships/externalLink" Target="externalLinks/externalLink48.xml" /><Relationship Id="rId18" Type="http://schemas.openxmlformats.org/officeDocument/2006/relationships/worksheet" Target="worksheets/sheet17.xml" /><Relationship Id="rId19" Type="http://schemas.openxmlformats.org/officeDocument/2006/relationships/worksheet" Target="worksheets/sheet18.xml" /><Relationship Id="rId14" Type="http://schemas.openxmlformats.org/officeDocument/2006/relationships/worksheet" Target="worksheets/sheet13.xml" /><Relationship Id="rId15" Type="http://schemas.openxmlformats.org/officeDocument/2006/relationships/worksheet" Target="worksheets/sheet14.xml" /><Relationship Id="rId58" Type="http://schemas.openxmlformats.org/officeDocument/2006/relationships/externalLink" Target="externalLinks/externalLink30.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54" Type="http://schemas.openxmlformats.org/officeDocument/2006/relationships/externalLink" Target="externalLinks/externalLink26.xml" /><Relationship Id="rId55" Type="http://schemas.openxmlformats.org/officeDocument/2006/relationships/externalLink" Target="externalLinks/externalLink27.xml" /><Relationship Id="rId56" Type="http://schemas.openxmlformats.org/officeDocument/2006/relationships/externalLink" Target="externalLinks/externalLink28.xml" /><Relationship Id="rId57" Type="http://schemas.openxmlformats.org/officeDocument/2006/relationships/externalLink" Target="externalLinks/externalLink29.xml" /><Relationship Id="rId50" Type="http://schemas.openxmlformats.org/officeDocument/2006/relationships/externalLink" Target="externalLinks/externalLink22.xml" /><Relationship Id="rId51" Type="http://schemas.openxmlformats.org/officeDocument/2006/relationships/externalLink" Target="externalLinks/externalLink23.xml" /><Relationship Id="rId52" Type="http://schemas.openxmlformats.org/officeDocument/2006/relationships/externalLink" Target="externalLinks/externalLink24.xml" /><Relationship Id="rId53" Type="http://schemas.openxmlformats.org/officeDocument/2006/relationships/externalLink" Target="externalLinks/externalLink25.xml" /><Relationship Id="rId96" Type="http://schemas.openxmlformats.org/officeDocument/2006/relationships/externalLink" Target="externalLinks/externalLink68.xml" /><Relationship Id="rId97" Type="http://schemas.openxmlformats.org/officeDocument/2006/relationships/externalLink" Target="externalLinks/externalLink69.xml" /><Relationship Id="rId90" Type="http://schemas.openxmlformats.org/officeDocument/2006/relationships/externalLink" Target="externalLinks/externalLink62.xml" /><Relationship Id="rId91" Type="http://schemas.openxmlformats.org/officeDocument/2006/relationships/externalLink" Target="externalLinks/externalLink63.xml" /><Relationship Id="rId92" Type="http://schemas.openxmlformats.org/officeDocument/2006/relationships/externalLink" Target="externalLinks/externalLink64.xml" /><Relationship Id="rId71" Type="http://schemas.openxmlformats.org/officeDocument/2006/relationships/externalLink" Target="externalLinks/externalLink43.xml" /><Relationship Id="rId16" Type="http://schemas.openxmlformats.org/officeDocument/2006/relationships/worksheet" Target="worksheets/sheet15.xml" /><Relationship Id="rId98" Type="http://schemas.openxmlformats.org/officeDocument/2006/relationships/externalLink" Target="externalLinks/externalLink70.xml" /><Relationship Id="rId59" Type="http://schemas.openxmlformats.org/officeDocument/2006/relationships/externalLink" Target="externalLinks/externalLink31.xml" /><Relationship Id="rId4" Type="http://schemas.openxmlformats.org/officeDocument/2006/relationships/worksheet" Target="worksheets/sheet3.xml" /><Relationship Id="rId12" Type="http://schemas.openxmlformats.org/officeDocument/2006/relationships/worksheet" Target="worksheets/sheet11.xml" /><Relationship Id="rId94" Type="http://schemas.openxmlformats.org/officeDocument/2006/relationships/externalLink" Target="externalLinks/externalLink66.xml" /><Relationship Id="rId8" Type="http://schemas.openxmlformats.org/officeDocument/2006/relationships/worksheet" Target="worksheets/sheet7.xml" /><Relationship Id="rId85" Type="http://schemas.openxmlformats.org/officeDocument/2006/relationships/externalLink" Target="externalLinks/externalLink57.xml" /><Relationship Id="rId2" Type="http://schemas.openxmlformats.org/officeDocument/2006/relationships/worksheet" Target="worksheets/sheet1.xml" /><Relationship Id="rId88" Type="http://schemas.openxmlformats.org/officeDocument/2006/relationships/externalLink" Target="externalLinks/externalLink60.xml" /><Relationship Id="rId6" Type="http://schemas.openxmlformats.org/officeDocument/2006/relationships/worksheet" Target="worksheets/sheet5.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U:\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91875CAF\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A4C5C635\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C2521D90\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file:///U:\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27.bin" /><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9.bin" /><Relationship Id="rId1" Type="http://schemas.openxmlformats.org/officeDocument/2006/relationships/printerSettings" Target="../printerSettings/printerSettings28.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1.bin" /><Relationship Id="rId1" Type="http://schemas.openxmlformats.org/officeDocument/2006/relationships/printerSettings" Target="../printerSettings/printerSettings3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T371"/>
  <sheetViews>
    <sheetView tabSelected="1" view="pageBreakPreview" zoomScale="80" zoomScaleNormal="75" zoomScaleSheetLayoutView="80" workbookViewId="0" topLeftCell="A1">
      <selection pane="topLeft" activeCell="D10" sqref="D10"/>
    </sheetView>
  </sheetViews>
  <sheetFormatPr defaultColWidth="8.88555555555556" defaultRowHeight="15.75"/>
  <cols>
    <col min="1" max="1" width="5.88888888888889" style="269" bestFit="1" customWidth="1"/>
    <col min="2" max="2" width="31.8888888888889" style="269" customWidth="1"/>
    <col min="3" max="3" width="45.1111111111111" style="269" customWidth="1"/>
    <col min="4" max="4" width="14.6666666666667" style="269" customWidth="1"/>
    <col min="5" max="5" width="10.3333333333333" style="269" customWidth="1"/>
    <col min="6" max="6" width="11.5555555555556" style="269" customWidth="1"/>
    <col min="7" max="7" width="9.88888888888889" style="269" customWidth="1"/>
    <col min="8" max="8" width="4.11111111111111" style="269" customWidth="1"/>
    <col min="9" max="9" width="13.8888888888889" style="269" customWidth="1"/>
    <col min="10" max="10" width="14.4444444444444" style="269" bestFit="1" customWidth="1"/>
    <col min="11" max="11" width="11.5555555555556" style="269" customWidth="1"/>
    <col min="12" max="12" width="15.5555555555556" style="467" customWidth="1"/>
    <col min="13" max="13" width="10.8888888888889" style="269" customWidth="1"/>
    <col min="14" max="14" width="10.4444444444444" style="269" customWidth="1"/>
    <col min="15" max="15" width="10.5555555555556" style="269" customWidth="1"/>
    <col min="16" max="16384" width="8.88888888888889" style="269"/>
  </cols>
  <sheetData>
    <row r="1" spans="2:14" ht="16.5" customHeight="1">
      <c r="B1" s="592"/>
      <c r="C1" s="592"/>
      <c r="D1" s="592"/>
      <c r="E1" s="592"/>
      <c r="F1" s="592"/>
      <c r="G1" s="592"/>
      <c r="H1" s="592"/>
      <c r="I1" s="592"/>
      <c r="K1" s="270" t="s">
        <v>306</v>
      </c>
      <c r="L1" s="271"/>
      <c r="M1" s="272"/>
      <c r="N1" s="272"/>
    </row>
    <row r="2" spans="2:14" ht="16.5" customHeight="1">
      <c r="B2" s="592"/>
      <c r="C2" s="592"/>
      <c r="D2" s="592"/>
      <c r="E2" s="592"/>
      <c r="F2" s="592"/>
      <c r="G2" s="592"/>
      <c r="H2" s="592"/>
      <c r="I2" s="592"/>
      <c r="J2" s="272"/>
      <c r="K2" s="270" t="s">
        <v>0</v>
      </c>
      <c r="L2" s="271"/>
      <c r="M2" s="272"/>
      <c r="N2" s="272"/>
    </row>
    <row r="3" spans="2:14" ht="16.5" customHeight="1">
      <c r="B3" s="273"/>
      <c r="C3" s="273"/>
      <c r="D3" s="271"/>
      <c r="E3" s="273"/>
      <c r="F3" s="273"/>
      <c r="G3" s="273"/>
      <c r="H3" s="272"/>
      <c r="I3" s="272"/>
      <c r="J3" s="272"/>
      <c r="K3" s="272"/>
      <c r="L3" s="271"/>
      <c r="M3" s="272"/>
      <c r="N3" s="272"/>
    </row>
    <row r="4" spans="2:14" ht="15.75">
      <c r="B4" s="273" t="s">
        <v>1</v>
      </c>
      <c r="C4" s="273"/>
      <c r="D4" s="271" t="s">
        <v>2</v>
      </c>
      <c r="E4" s="273"/>
      <c r="F4" s="273"/>
      <c r="G4" s="273"/>
      <c r="H4" s="274"/>
      <c r="I4" s="275"/>
      <c r="J4" s="274"/>
      <c r="K4" s="761" t="s">
        <v>881</v>
      </c>
      <c r="L4" s="271"/>
      <c r="M4" s="272"/>
      <c r="N4" s="272"/>
    </row>
    <row r="5" spans="2:14" ht="15.75">
      <c r="B5" s="273"/>
      <c r="C5" s="277" t="s">
        <v>3</v>
      </c>
      <c r="D5" s="277" t="s">
        <v>4</v>
      </c>
      <c r="E5" s="277"/>
      <c r="F5" s="277"/>
      <c r="G5" s="277"/>
      <c r="H5" s="272"/>
      <c r="I5" s="272"/>
      <c r="J5" s="272"/>
      <c r="K5" s="272"/>
      <c r="L5" s="271"/>
      <c r="M5" s="272"/>
      <c r="N5" s="272"/>
    </row>
    <row r="6" spans="2:14" ht="15.75">
      <c r="B6" s="272"/>
      <c r="C6" s="272"/>
      <c r="D6" s="272"/>
      <c r="E6" s="272"/>
      <c r="F6" s="272"/>
      <c r="G6" s="272"/>
      <c r="H6" s="272"/>
      <c r="I6" s="272"/>
      <c r="J6" s="272"/>
      <c r="K6" s="272"/>
      <c r="L6" s="271"/>
      <c r="M6" s="272"/>
      <c r="N6" s="272"/>
    </row>
    <row r="7" spans="1:14" ht="15.75">
      <c r="A7" s="278"/>
      <c r="B7" s="272"/>
      <c r="C7" s="272"/>
      <c r="D7" s="279" t="s">
        <v>222</v>
      </c>
      <c r="E7" s="272"/>
      <c r="F7" s="272"/>
      <c r="G7" s="272"/>
      <c r="H7" s="272"/>
      <c r="I7" s="272"/>
      <c r="J7" s="272"/>
      <c r="K7" s="272"/>
      <c r="L7" s="271"/>
      <c r="M7" s="272"/>
      <c r="N7" s="272"/>
    </row>
    <row r="8" spans="1:14" ht="15.75">
      <c r="A8" s="278"/>
      <c r="B8" s="272"/>
      <c r="C8" s="272"/>
      <c r="D8" s="280"/>
      <c r="E8" s="272"/>
      <c r="F8" s="272"/>
      <c r="G8" s="272"/>
      <c r="H8" s="272"/>
      <c r="I8" s="272"/>
      <c r="J8" s="272"/>
      <c r="K8" s="272"/>
      <c r="L8" s="271"/>
      <c r="M8" s="272"/>
      <c r="N8" s="272"/>
    </row>
    <row r="9" spans="1:14" ht="15.75">
      <c r="A9" s="278" t="s">
        <v>5</v>
      </c>
      <c r="B9" s="272"/>
      <c r="C9" s="272"/>
      <c r="D9" s="280"/>
      <c r="E9" s="272"/>
      <c r="F9" s="272"/>
      <c r="G9" s="272"/>
      <c r="H9" s="272"/>
      <c r="I9" s="278" t="s">
        <v>6</v>
      </c>
      <c r="J9" s="272"/>
      <c r="K9" s="272"/>
      <c r="L9" s="271"/>
      <c r="M9" s="272"/>
      <c r="N9" s="272"/>
    </row>
    <row r="10" spans="1:14" ht="16.5" thickBot="1">
      <c r="A10" s="281" t="s">
        <v>7</v>
      </c>
      <c r="B10" s="272"/>
      <c r="C10" s="272"/>
      <c r="D10" s="272"/>
      <c r="E10" s="272"/>
      <c r="F10" s="272"/>
      <c r="G10" s="278"/>
      <c r="H10" s="272"/>
      <c r="I10" s="281" t="s">
        <v>8</v>
      </c>
      <c r="J10" s="593"/>
      <c r="K10" s="9"/>
      <c r="L10" s="271"/>
      <c r="M10" s="272"/>
      <c r="N10" s="272"/>
    </row>
    <row r="11" spans="1:14" ht="15.75">
      <c r="A11" s="278">
        <v>1</v>
      </c>
      <c r="B11" s="272" t="s">
        <v>221</v>
      </c>
      <c r="C11" s="272"/>
      <c r="D11" s="282"/>
      <c r="E11" s="272"/>
      <c r="F11" s="272"/>
      <c r="G11" s="272"/>
      <c r="H11" s="272"/>
      <c r="I11" s="283">
        <f>I181</f>
        <v>951479423.09056616</v>
      </c>
      <c r="J11" s="753"/>
      <c r="K11" s="754"/>
      <c r="L11" s="271"/>
      <c r="M11" s="272"/>
      <c r="N11" s="272"/>
    </row>
    <row r="12" spans="1:14" ht="15.75">
      <c r="A12" s="278"/>
      <c r="B12" s="272"/>
      <c r="C12" s="272"/>
      <c r="D12" s="272"/>
      <c r="E12" s="272"/>
      <c r="F12" s="272"/>
      <c r="G12" s="285"/>
      <c r="H12" s="272"/>
      <c r="I12" s="282"/>
      <c r="J12" s="272"/>
      <c r="K12" s="286"/>
      <c r="L12" s="271"/>
      <c r="M12" s="272"/>
      <c r="N12" s="272"/>
    </row>
    <row r="13" spans="1:14" ht="15.75">
      <c r="A13" s="278"/>
      <c r="B13" s="272"/>
      <c r="C13" s="272"/>
      <c r="D13" s="272"/>
      <c r="E13" s="272"/>
      <c r="F13" s="272"/>
      <c r="G13" s="272"/>
      <c r="H13" s="272"/>
      <c r="I13" s="282"/>
      <c r="J13" s="272"/>
      <c r="K13" s="284"/>
      <c r="L13" s="271"/>
      <c r="M13" s="272"/>
      <c r="N13" s="287"/>
    </row>
    <row r="14" spans="1:14" ht="16.5" thickBot="1">
      <c r="A14" s="278" t="s">
        <v>3</v>
      </c>
      <c r="B14" s="273" t="s">
        <v>132</v>
      </c>
      <c r="C14" s="288" t="s">
        <v>10</v>
      </c>
      <c r="D14" s="281" t="s">
        <v>11</v>
      </c>
      <c r="E14" s="277"/>
      <c r="F14" s="289" t="s">
        <v>12</v>
      </c>
      <c r="G14" s="289"/>
      <c r="H14" s="272"/>
      <c r="I14" s="282"/>
      <c r="J14" s="272"/>
      <c r="K14" s="284"/>
      <c r="L14" s="271"/>
      <c r="M14" s="272"/>
      <c r="N14" s="272"/>
    </row>
    <row r="15" spans="1:14" ht="15.75">
      <c r="A15" s="278" t="s">
        <v>329</v>
      </c>
      <c r="B15" s="273" t="s">
        <v>516</v>
      </c>
      <c r="C15" s="288" t="s">
        <v>517</v>
      </c>
      <c r="D15" s="290">
        <f>I259</f>
        <v>0</v>
      </c>
      <c r="E15" s="277"/>
      <c r="F15" s="291" t="s">
        <v>14</v>
      </c>
      <c r="G15" s="292">
        <f>I211</f>
        <v>1</v>
      </c>
      <c r="H15" s="272"/>
      <c r="I15" s="293">
        <f>D15*G15</f>
        <v>0</v>
      </c>
      <c r="J15" s="272"/>
      <c r="K15" s="284"/>
      <c r="L15" s="271"/>
      <c r="M15" s="272"/>
      <c r="N15" s="272"/>
    </row>
    <row r="16" spans="1:14" ht="15.75">
      <c r="A16" s="278" t="s">
        <v>352</v>
      </c>
      <c r="B16" s="273" t="s">
        <v>13</v>
      </c>
      <c r="C16" s="277" t="s">
        <v>274</v>
      </c>
      <c r="D16" s="294">
        <f>I261</f>
        <v>19794948</v>
      </c>
      <c r="E16" s="277"/>
      <c r="F16" s="277" t="s">
        <v>14</v>
      </c>
      <c r="G16" s="295">
        <f>I211</f>
        <v>1</v>
      </c>
      <c r="H16" s="277"/>
      <c r="I16" s="299">
        <f t="shared" si="0" ref="I16:I23">+G16*D16</f>
        <v>19794948</v>
      </c>
      <c r="J16" s="297"/>
      <c r="K16" s="298"/>
      <c r="L16" s="271"/>
      <c r="M16" s="272"/>
      <c r="N16" s="272"/>
    </row>
    <row r="17" spans="1:14" ht="15.75">
      <c r="A17" s="278">
        <v>3</v>
      </c>
      <c r="B17" s="273" t="s">
        <v>299</v>
      </c>
      <c r="C17" s="277" t="s">
        <v>518</v>
      </c>
      <c r="D17" s="294">
        <f>I263</f>
        <v>9689278</v>
      </c>
      <c r="E17" s="277"/>
      <c r="F17" s="277" t="str">
        <f t="shared" si="1" ref="F17:G19">+F16</f>
        <v>TP</v>
      </c>
      <c r="G17" s="295">
        <f t="shared" si="1"/>
        <v>1</v>
      </c>
      <c r="H17" s="277"/>
      <c r="I17" s="299">
        <f t="shared" si="0"/>
        <v>9689278</v>
      </c>
      <c r="J17" s="300"/>
      <c r="K17" s="298"/>
      <c r="L17" s="271"/>
      <c r="M17" s="272"/>
      <c r="N17" s="272"/>
    </row>
    <row r="18" spans="1:14" ht="15.75">
      <c r="A18" s="278" t="s">
        <v>223</v>
      </c>
      <c r="B18" s="301" t="s">
        <v>15</v>
      </c>
      <c r="C18" s="277"/>
      <c r="D18" s="302"/>
      <c r="E18" s="277"/>
      <c r="F18" s="277" t="str">
        <f t="shared" si="1"/>
        <v>TP</v>
      </c>
      <c r="G18" s="295">
        <f t="shared" si="1"/>
        <v>1</v>
      </c>
      <c r="H18" s="277"/>
      <c r="I18" s="299">
        <f t="shared" si="0"/>
        <v>0</v>
      </c>
      <c r="J18" s="300"/>
      <c r="K18" s="298"/>
      <c r="L18" s="271"/>
      <c r="N18" s="272"/>
    </row>
    <row r="19" spans="1:14" ht="15.75">
      <c r="A19" s="278" t="s">
        <v>224</v>
      </c>
      <c r="B19" s="301" t="s">
        <v>16</v>
      </c>
      <c r="C19" s="277"/>
      <c r="D19" s="302"/>
      <c r="E19" s="277"/>
      <c r="F19" s="277" t="str">
        <f t="shared" si="1"/>
        <v>TP</v>
      </c>
      <c r="G19" s="295">
        <f t="shared" si="1"/>
        <v>1</v>
      </c>
      <c r="H19" s="277"/>
      <c r="I19" s="299">
        <f t="shared" si="0"/>
        <v>0</v>
      </c>
      <c r="J19" s="300"/>
      <c r="K19" s="298"/>
      <c r="L19" s="271"/>
      <c r="N19" s="272"/>
    </row>
    <row r="20" spans="1:14" ht="15.75">
      <c r="A20" s="278" t="s">
        <v>73</v>
      </c>
      <c r="B20" s="5" t="s">
        <v>743</v>
      </c>
      <c r="C20" s="288"/>
      <c r="D20" s="294">
        <f>'Appendix E-MTEP Credit'!N86</f>
        <v>273892.03608157526</v>
      </c>
      <c r="E20" s="288"/>
      <c r="F20" s="288" t="str">
        <f t="shared" si="2" ref="F20:G22">+F19</f>
        <v>TP</v>
      </c>
      <c r="G20" s="303">
        <f t="shared" si="2"/>
        <v>1</v>
      </c>
      <c r="H20" s="288"/>
      <c r="I20" s="299">
        <f t="shared" si="0"/>
        <v>273892.03608157526</v>
      </c>
      <c r="J20" s="300"/>
      <c r="K20" s="304"/>
      <c r="L20" s="271"/>
      <c r="N20" s="272"/>
    </row>
    <row r="21" spans="1:14" ht="15.75">
      <c r="A21" s="305" t="s">
        <v>218</v>
      </c>
      <c r="B21" s="301" t="s">
        <v>275</v>
      </c>
      <c r="C21" s="306"/>
      <c r="D21" s="294">
        <v>0</v>
      </c>
      <c r="E21" s="288"/>
      <c r="F21" s="288" t="str">
        <f t="shared" si="2"/>
        <v>TP</v>
      </c>
      <c r="G21" s="303">
        <f t="shared" si="2"/>
        <v>1</v>
      </c>
      <c r="H21" s="288"/>
      <c r="I21" s="299">
        <f t="shared" si="0"/>
        <v>0</v>
      </c>
      <c r="J21" s="307"/>
      <c r="K21" s="304"/>
      <c r="L21" s="271"/>
      <c r="N21" s="272"/>
    </row>
    <row r="22" spans="1:14" ht="15.75">
      <c r="A22" s="305" t="s">
        <v>227</v>
      </c>
      <c r="B22" s="301" t="s">
        <v>275</v>
      </c>
      <c r="C22" s="306"/>
      <c r="D22" s="294">
        <v>0</v>
      </c>
      <c r="E22" s="288"/>
      <c r="F22" s="288" t="str">
        <f t="shared" si="2"/>
        <v>TP</v>
      </c>
      <c r="G22" s="303">
        <f t="shared" si="2"/>
        <v>1</v>
      </c>
      <c r="H22" s="288"/>
      <c r="I22" s="299">
        <f t="shared" si="0"/>
        <v>0</v>
      </c>
      <c r="J22" s="307"/>
      <c r="K22" s="304"/>
      <c r="L22" s="271"/>
      <c r="N22" s="272"/>
    </row>
    <row r="23" spans="1:14" ht="16.5" thickBot="1">
      <c r="A23" s="278" t="s">
        <v>219</v>
      </c>
      <c r="B23" s="5" t="s">
        <v>744</v>
      </c>
      <c r="C23" s="288"/>
      <c r="D23" s="308">
        <f>'Appendix D-TEC'!L75</f>
        <v>29337448.813995518</v>
      </c>
      <c r="E23" s="288"/>
      <c r="F23" s="288" t="str">
        <f>+F20</f>
        <v>TP</v>
      </c>
      <c r="G23" s="303">
        <f>+G22</f>
        <v>1</v>
      </c>
      <c r="H23" s="288"/>
      <c r="I23" s="309">
        <f t="shared" si="0"/>
        <v>29337448.813995518</v>
      </c>
      <c r="J23" s="307"/>
      <c r="K23" s="304"/>
      <c r="L23" s="271"/>
      <c r="N23" s="272"/>
    </row>
    <row r="24" spans="1:14" ht="15.75">
      <c r="A24" s="278" t="s">
        <v>483</v>
      </c>
      <c r="B24" s="273" t="s">
        <v>564</v>
      </c>
      <c r="C24" s="272"/>
      <c r="D24" s="310">
        <f>SUM(D15:D23)</f>
        <v>59095566.850077093</v>
      </c>
      <c r="E24" s="277"/>
      <c r="F24" s="277"/>
      <c r="G24" s="295"/>
      <c r="H24" s="277"/>
      <c r="I24" s="311">
        <f>SUM(I15:I23)</f>
        <v>59095566.850077093</v>
      </c>
      <c r="J24" s="312"/>
      <c r="K24" s="313"/>
      <c r="L24" s="271"/>
      <c r="N24" s="272"/>
    </row>
    <row r="25" spans="1:14" ht="15.75">
      <c r="A25" s="278" t="s">
        <v>332</v>
      </c>
      <c r="B25" s="273" t="s">
        <v>476</v>
      </c>
      <c r="C25" s="272"/>
      <c r="D25" s="314"/>
      <c r="E25" s="277"/>
      <c r="F25" s="277"/>
      <c r="G25" s="295"/>
      <c r="H25" s="277"/>
      <c r="I25" s="315">
        <f>'Appendix H-Rev Req True-up Adj'!H51</f>
        <v>-43746038.622278422</v>
      </c>
      <c r="J25" s="312"/>
      <c r="K25" s="313"/>
      <c r="L25" s="271"/>
      <c r="N25" s="272"/>
    </row>
    <row r="26" spans="1:14" ht="15.75">
      <c r="A26" s="278"/>
      <c r="B26" s="273"/>
      <c r="C26" s="272"/>
      <c r="F26" s="277"/>
      <c r="I26" s="316"/>
      <c r="J26" s="312"/>
      <c r="K26" s="284"/>
      <c r="L26" s="271"/>
      <c r="N26" s="272"/>
    </row>
    <row r="27" spans="1:14" ht="16.5" thickBot="1">
      <c r="A27" s="278">
        <v>7</v>
      </c>
      <c r="B27" s="273" t="s">
        <v>17</v>
      </c>
      <c r="C27" s="272" t="s">
        <v>484</v>
      </c>
      <c r="D27" s="317" t="s">
        <v>3</v>
      </c>
      <c r="E27" s="277"/>
      <c r="F27" s="277"/>
      <c r="G27" s="277"/>
      <c r="H27" s="277"/>
      <c r="I27" s="318">
        <f>I11-I24+I25</f>
        <v>848637817.61821055</v>
      </c>
      <c r="J27" s="319"/>
      <c r="K27" s="319"/>
      <c r="L27" s="271"/>
      <c r="N27" s="272"/>
    </row>
    <row r="28" spans="1:14" ht="16.5" thickTop="1">
      <c r="A28" s="278"/>
      <c r="B28" s="273"/>
      <c r="C28" s="272"/>
      <c r="D28" s="317"/>
      <c r="E28" s="277"/>
      <c r="F28" s="277"/>
      <c r="G28" s="277"/>
      <c r="H28" s="277"/>
      <c r="I28" s="320"/>
      <c r="J28" s="804"/>
      <c r="K28" s="321"/>
      <c r="L28" s="271"/>
      <c r="N28" s="272"/>
    </row>
    <row r="29" spans="1:14" ht="15.75">
      <c r="A29" s="278"/>
      <c r="B29" s="273"/>
      <c r="C29" s="272"/>
      <c r="D29" s="317"/>
      <c r="E29" s="277"/>
      <c r="F29" s="277"/>
      <c r="G29" s="277"/>
      <c r="H29" s="277"/>
      <c r="I29" s="320"/>
      <c r="J29" s="804"/>
      <c r="K29" s="321"/>
      <c r="L29" s="271"/>
      <c r="N29" s="272"/>
    </row>
    <row r="30" spans="1:14" ht="15.75">
      <c r="A30" s="278"/>
      <c r="C30" s="277"/>
      <c r="I30" s="277"/>
      <c r="J30" s="312"/>
      <c r="K30" s="284"/>
      <c r="L30" s="271"/>
      <c r="N30" s="272"/>
    </row>
    <row r="31" spans="1:14" ht="16.5" thickBot="1">
      <c r="A31" s="278"/>
      <c r="B31" s="273" t="s">
        <v>18</v>
      </c>
      <c r="C31" s="272"/>
      <c r="D31" s="282"/>
      <c r="E31" s="272"/>
      <c r="F31" s="272"/>
      <c r="G31" s="272"/>
      <c r="H31" s="272"/>
      <c r="I31" s="322" t="s">
        <v>11</v>
      </c>
      <c r="J31" s="305"/>
      <c r="K31" s="323"/>
      <c r="L31" s="271"/>
      <c r="N31" s="272"/>
    </row>
    <row r="32" spans="1:20" s="326" customFormat="1" ht="15.75">
      <c r="A32" s="278">
        <v>8</v>
      </c>
      <c r="B32" s="324" t="s">
        <v>294</v>
      </c>
      <c r="C32" s="269"/>
      <c r="D32" s="282"/>
      <c r="E32" s="272"/>
      <c r="F32" s="272"/>
      <c r="G32" s="312" t="s">
        <v>19</v>
      </c>
      <c r="H32" s="272"/>
      <c r="I32" s="591">
        <v>12771.1</v>
      </c>
      <c r="J32" s="786"/>
      <c r="K32" s="786"/>
      <c r="L32" s="325"/>
      <c r="M32" s="269"/>
      <c r="N32" s="272"/>
      <c r="O32" s="269"/>
      <c r="P32" s="269"/>
      <c r="Q32" s="269"/>
      <c r="R32" s="269"/>
      <c r="S32" s="269"/>
      <c r="T32" s="269"/>
    </row>
    <row r="33" spans="1:14" ht="15.75">
      <c r="A33" s="278">
        <v>9</v>
      </c>
      <c r="B33" s="324" t="s">
        <v>295</v>
      </c>
      <c r="C33" s="277"/>
      <c r="D33" s="277"/>
      <c r="E33" s="277"/>
      <c r="F33" s="277"/>
      <c r="G33" s="312" t="s">
        <v>20</v>
      </c>
      <c r="H33" s="277"/>
      <c r="I33" s="591">
        <v>10234.4</v>
      </c>
      <c r="J33" s="786"/>
      <c r="K33" s="786"/>
      <c r="L33" s="325"/>
      <c r="M33" s="272"/>
      <c r="N33" s="272"/>
    </row>
    <row r="34" spans="1:14" ht="15.75">
      <c r="A34" s="278">
        <v>10</v>
      </c>
      <c r="B34" s="301" t="s">
        <v>275</v>
      </c>
      <c r="C34" s="327"/>
      <c r="D34" s="312"/>
      <c r="E34" s="312"/>
      <c r="F34" s="326"/>
      <c r="G34" s="312"/>
      <c r="H34" s="312"/>
      <c r="I34" s="296">
        <v>0</v>
      </c>
      <c r="J34" s="296"/>
      <c r="K34" s="298"/>
      <c r="L34" s="325"/>
      <c r="M34" s="272"/>
      <c r="N34" s="272"/>
    </row>
    <row r="35" spans="1:14" ht="15.75">
      <c r="A35" s="278">
        <v>11</v>
      </c>
      <c r="B35" s="324" t="s">
        <v>275</v>
      </c>
      <c r="C35" s="272"/>
      <c r="D35" s="272"/>
      <c r="E35" s="272"/>
      <c r="G35" s="312"/>
      <c r="H35" s="272"/>
      <c r="I35" s="298">
        <v>0</v>
      </c>
      <c r="J35" s="296"/>
      <c r="K35" s="298"/>
      <c r="L35" s="325"/>
      <c r="M35" s="272"/>
      <c r="N35" s="272"/>
    </row>
    <row r="36" spans="1:14" ht="15.75">
      <c r="A36" s="278">
        <v>12</v>
      </c>
      <c r="B36" s="301" t="s">
        <v>275</v>
      </c>
      <c r="C36" s="272"/>
      <c r="D36" s="272"/>
      <c r="E36" s="272"/>
      <c r="F36" s="272"/>
      <c r="G36" s="272"/>
      <c r="H36" s="272"/>
      <c r="I36" s="298">
        <v>0</v>
      </c>
      <c r="J36" s="296"/>
      <c r="K36" s="298"/>
      <c r="L36" s="325"/>
      <c r="M36" s="272"/>
      <c r="N36" s="272"/>
    </row>
    <row r="37" spans="1:14" ht="15.75">
      <c r="A37" s="305">
        <v>13</v>
      </c>
      <c r="B37" s="301" t="s">
        <v>275</v>
      </c>
      <c r="C37" s="312"/>
      <c r="D37" s="312"/>
      <c r="E37" s="272"/>
      <c r="F37" s="272"/>
      <c r="G37" s="312"/>
      <c r="H37" s="272"/>
      <c r="I37" s="298">
        <v>0</v>
      </c>
      <c r="J37" s="296"/>
      <c r="K37" s="298"/>
      <c r="L37" s="325"/>
      <c r="M37" s="272"/>
      <c r="N37" s="272"/>
    </row>
    <row r="38" spans="1:14" ht="15.75">
      <c r="A38" s="305">
        <v>14</v>
      </c>
      <c r="B38" s="301" t="s">
        <v>275</v>
      </c>
      <c r="C38" s="312"/>
      <c r="D38" s="312"/>
      <c r="E38" s="272"/>
      <c r="F38" s="272"/>
      <c r="G38" s="272"/>
      <c r="H38" s="272"/>
      <c r="I38" s="298">
        <v>0</v>
      </c>
      <c r="J38" s="298"/>
      <c r="K38" s="298"/>
      <c r="L38" s="325"/>
      <c r="M38" s="272"/>
      <c r="N38" s="272"/>
    </row>
    <row r="39" spans="1:14" ht="16.5" customHeight="1">
      <c r="A39" s="278">
        <v>15</v>
      </c>
      <c r="B39" s="324" t="s">
        <v>275</v>
      </c>
      <c r="C39" s="272"/>
      <c r="D39" s="272"/>
      <c r="E39" s="272"/>
      <c r="F39" s="272"/>
      <c r="G39" s="272"/>
      <c r="H39" s="272"/>
      <c r="I39" s="282"/>
      <c r="J39" s="272"/>
      <c r="K39" s="282"/>
      <c r="L39" s="271"/>
      <c r="M39" s="272"/>
      <c r="N39" s="272"/>
    </row>
    <row r="40" spans="1:14" ht="16.5" customHeight="1">
      <c r="A40" s="278"/>
      <c r="B40" s="273"/>
      <c r="C40" s="272"/>
      <c r="D40" s="272"/>
      <c r="E40" s="272"/>
      <c r="F40" s="272"/>
      <c r="G40" s="272"/>
      <c r="H40" s="272"/>
      <c r="I40" s="282"/>
      <c r="J40" s="272"/>
      <c r="K40" s="282"/>
      <c r="L40" s="271"/>
      <c r="M40" s="272"/>
      <c r="N40" s="272"/>
    </row>
    <row r="41" spans="1:14" ht="16.5" thickBot="1">
      <c r="A41" s="278"/>
      <c r="B41" s="273"/>
      <c r="C41" s="272"/>
      <c r="D41" s="281" t="s">
        <v>11</v>
      </c>
      <c r="F41" s="284"/>
      <c r="G41" s="284"/>
      <c r="H41" s="272"/>
      <c r="I41" s="282"/>
      <c r="J41" s="272"/>
      <c r="K41" s="272"/>
      <c r="L41" s="271"/>
      <c r="M41" s="272"/>
      <c r="N41" s="272"/>
    </row>
    <row r="42" spans="1:14" ht="15.75">
      <c r="A42" s="278">
        <v>16</v>
      </c>
      <c r="B42" s="273" t="s">
        <v>290</v>
      </c>
      <c r="C42" s="272" t="s">
        <v>292</v>
      </c>
      <c r="D42" s="328">
        <f>IF(I32&gt;0,(I27/I32),0)</f>
        <v>66449.860827823024</v>
      </c>
      <c r="F42" s="329"/>
      <c r="G42" s="284"/>
      <c r="H42" s="272"/>
      <c r="J42" s="272"/>
      <c r="K42" s="272"/>
      <c r="L42" s="271"/>
      <c r="M42" s="272"/>
      <c r="N42" s="272"/>
    </row>
    <row r="43" spans="1:19" ht="15.75">
      <c r="A43" s="278"/>
      <c r="B43" s="273"/>
      <c r="C43" s="272"/>
      <c r="D43" s="330"/>
      <c r="F43" s="331"/>
      <c r="G43" s="272"/>
      <c r="H43" s="272"/>
      <c r="J43" s="272"/>
      <c r="K43" s="272"/>
      <c r="L43" s="271"/>
      <c r="M43" s="272"/>
      <c r="N43" s="326"/>
      <c r="O43" s="326"/>
      <c r="P43" s="326"/>
      <c r="Q43" s="326"/>
      <c r="R43" s="326"/>
      <c r="S43" s="326"/>
    </row>
    <row r="44" spans="1:19" ht="15.75">
      <c r="A44" s="278"/>
      <c r="B44" s="273"/>
      <c r="C44" s="272"/>
      <c r="D44" s="331"/>
      <c r="E44" s="331"/>
      <c r="F44" s="332"/>
      <c r="G44" s="333"/>
      <c r="H44" s="272"/>
      <c r="J44" s="272"/>
      <c r="K44" s="272"/>
      <c r="L44" s="271"/>
      <c r="M44" s="272"/>
      <c r="N44" s="326"/>
      <c r="O44" s="326"/>
      <c r="P44" s="326"/>
      <c r="Q44" s="326"/>
      <c r="R44" s="326"/>
      <c r="S44" s="326"/>
    </row>
    <row r="45" spans="1:13" ht="15.75">
      <c r="A45" s="278"/>
      <c r="B45" s="273"/>
      <c r="C45" s="272"/>
      <c r="D45" s="811" t="s">
        <v>23</v>
      </c>
      <c r="E45" s="811"/>
      <c r="F45" s="272"/>
      <c r="G45" s="272"/>
      <c r="H45" s="272"/>
      <c r="I45" s="812" t="s">
        <v>24</v>
      </c>
      <c r="J45" s="812"/>
      <c r="K45" s="272"/>
      <c r="L45" s="271"/>
      <c r="M45" s="272"/>
    </row>
    <row r="46" spans="1:13" ht="16.5" thickBot="1">
      <c r="A46" s="278"/>
      <c r="B46" s="273"/>
      <c r="C46" s="272"/>
      <c r="D46" s="334" t="str">
        <f>D41</f>
        <v>Total</v>
      </c>
      <c r="E46" s="335"/>
      <c r="F46" s="336"/>
      <c r="G46" s="278"/>
      <c r="H46" s="278"/>
      <c r="I46" s="337" t="str">
        <f>D46</f>
        <v>Total</v>
      </c>
      <c r="J46" s="284"/>
      <c r="K46" s="338"/>
      <c r="L46" s="271"/>
      <c r="M46" s="272"/>
    </row>
    <row r="47" spans="1:13" ht="15.75">
      <c r="A47" s="278">
        <v>17</v>
      </c>
      <c r="B47" s="273" t="s">
        <v>291</v>
      </c>
      <c r="C47" s="272" t="s">
        <v>293</v>
      </c>
      <c r="D47" s="339">
        <f>IF(I33&gt;0,(I27/I33),0)</f>
        <v>82920.133824963908</v>
      </c>
      <c r="E47" s="298"/>
      <c r="F47" s="340"/>
      <c r="G47" s="293"/>
      <c r="H47" s="293"/>
      <c r="I47" s="339">
        <f>IF(I33&gt;0,(I27/I33),0)</f>
        <v>82920.133824963908</v>
      </c>
      <c r="J47" s="329"/>
      <c r="K47" s="338"/>
      <c r="L47" s="271"/>
      <c r="M47" s="272"/>
    </row>
    <row r="48" spans="1:13" ht="15.75">
      <c r="A48" s="278">
        <v>18</v>
      </c>
      <c r="B48" s="273" t="s">
        <v>304</v>
      </c>
      <c r="C48" s="271" t="s">
        <v>442</v>
      </c>
      <c r="D48" s="293">
        <f>D47/12</f>
        <v>6910.0111520803257</v>
      </c>
      <c r="E48" s="298"/>
      <c r="F48" s="293"/>
      <c r="G48" s="293"/>
      <c r="H48" s="293"/>
      <c r="I48" s="293">
        <f>I47/12</f>
        <v>6910.0111520803257</v>
      </c>
      <c r="J48" s="341"/>
      <c r="K48" s="342"/>
      <c r="L48" s="271"/>
      <c r="M48" s="272"/>
    </row>
    <row r="49" spans="1:13" ht="15.75">
      <c r="A49" s="278">
        <v>19</v>
      </c>
      <c r="B49" s="273" t="s">
        <v>288</v>
      </c>
      <c r="C49" s="271" t="s">
        <v>443</v>
      </c>
      <c r="D49" s="293">
        <f>D47/52</f>
        <v>1594.6179581723829</v>
      </c>
      <c r="E49" s="298"/>
      <c r="F49" s="296"/>
      <c r="G49" s="343"/>
      <c r="H49" s="293"/>
      <c r="I49" s="293">
        <f>I47/52</f>
        <v>1594.6179581723829</v>
      </c>
      <c r="J49" s="341"/>
      <c r="K49" s="342"/>
      <c r="L49" s="271"/>
      <c r="M49" s="272"/>
    </row>
    <row r="50" spans="1:13" ht="15.75">
      <c r="A50" s="278">
        <v>20</v>
      </c>
      <c r="B50" s="273" t="s">
        <v>289</v>
      </c>
      <c r="C50" s="272" t="s">
        <v>305</v>
      </c>
      <c r="D50" s="293">
        <f>D49/5</f>
        <v>318.92359163447657</v>
      </c>
      <c r="E50" s="298"/>
      <c r="F50" s="296"/>
      <c r="G50" s="343"/>
      <c r="H50" s="293"/>
      <c r="I50" s="293">
        <f>I49/7</f>
        <v>227.80256545319756</v>
      </c>
      <c r="J50" s="329"/>
      <c r="K50" s="342"/>
      <c r="L50" s="271"/>
      <c r="M50" s="272"/>
    </row>
    <row r="51" spans="1:13" ht="15.75">
      <c r="A51" s="278">
        <v>21</v>
      </c>
      <c r="B51" s="273" t="s">
        <v>25</v>
      </c>
      <c r="C51" s="272" t="s">
        <v>444</v>
      </c>
      <c r="D51" s="293">
        <f>D47/4160</f>
        <v>19.932724477154785</v>
      </c>
      <c r="E51" s="298"/>
      <c r="F51" s="296"/>
      <c r="G51" s="343"/>
      <c r="H51" s="293"/>
      <c r="I51" s="328">
        <f>I47/8760</f>
        <v>9.4657687014798988</v>
      </c>
      <c r="J51" s="344"/>
      <c r="K51" s="272" t="s">
        <v>3</v>
      </c>
      <c r="L51" s="271"/>
      <c r="M51" s="272"/>
    </row>
    <row r="52" spans="1:13" ht="15.75">
      <c r="A52" s="278"/>
      <c r="B52" s="273"/>
      <c r="C52" s="272"/>
      <c r="D52" s="293"/>
      <c r="E52" s="293"/>
      <c r="F52" s="343"/>
      <c r="G52" s="296"/>
      <c r="H52" s="293"/>
      <c r="I52" s="328"/>
      <c r="J52" s="272"/>
      <c r="K52" s="272" t="s">
        <v>3</v>
      </c>
      <c r="L52" s="271"/>
      <c r="M52" s="272"/>
    </row>
    <row r="53" spans="2:13" ht="16.5" customHeight="1">
      <c r="B53" s="273"/>
      <c r="C53" s="273"/>
      <c r="D53" s="271"/>
      <c r="E53" s="273"/>
      <c r="F53" s="273"/>
      <c r="G53" s="273"/>
      <c r="H53" s="272"/>
      <c r="I53" s="272"/>
      <c r="K53" s="270" t="s">
        <v>306</v>
      </c>
      <c r="L53" s="271"/>
      <c r="M53" s="272"/>
    </row>
    <row r="54" spans="2:13" ht="16.5" customHeight="1">
      <c r="B54" s="273"/>
      <c r="C54" s="273"/>
      <c r="D54" s="271"/>
      <c r="E54" s="273"/>
      <c r="F54" s="273"/>
      <c r="G54" s="273"/>
      <c r="H54" s="272"/>
      <c r="I54" s="272"/>
      <c r="J54" s="272"/>
      <c r="K54" s="270" t="s">
        <v>26</v>
      </c>
      <c r="L54" s="271"/>
      <c r="M54" s="272"/>
    </row>
    <row r="55" spans="2:13" ht="16.5" customHeight="1">
      <c r="B55" s="273"/>
      <c r="C55" s="273"/>
      <c r="D55" s="271"/>
      <c r="E55" s="273"/>
      <c r="F55" s="273"/>
      <c r="G55" s="273"/>
      <c r="H55" s="272"/>
      <c r="I55" s="272"/>
      <c r="J55" s="272"/>
      <c r="K55" s="270"/>
      <c r="L55" s="271"/>
      <c r="M55" s="272"/>
    </row>
    <row r="56" spans="2:13" ht="15.75">
      <c r="B56" s="273" t="s">
        <v>1</v>
      </c>
      <c r="C56" s="273"/>
      <c r="D56" s="271" t="s">
        <v>2</v>
      </c>
      <c r="E56" s="273"/>
      <c r="F56" s="273"/>
      <c r="G56" s="273"/>
      <c r="H56" s="274"/>
      <c r="I56" s="275"/>
      <c r="J56" s="274"/>
      <c r="K56" s="276" t="str">
        <f>K4</f>
        <v>For the 12 months ended 12/31/2023</v>
      </c>
      <c r="L56" s="271"/>
      <c r="M56" s="272"/>
    </row>
    <row r="57" spans="2:13" ht="15.75">
      <c r="B57" s="273"/>
      <c r="C57" s="277" t="s">
        <v>3</v>
      </c>
      <c r="D57" s="277" t="s">
        <v>4</v>
      </c>
      <c r="E57" s="277"/>
      <c r="F57" s="277"/>
      <c r="G57" s="277"/>
      <c r="H57" s="272"/>
      <c r="I57" s="272"/>
      <c r="J57" s="272"/>
      <c r="K57" s="272"/>
      <c r="L57" s="271"/>
      <c r="M57" s="272"/>
    </row>
    <row r="58" spans="2:13" ht="15.75">
      <c r="B58" s="273"/>
      <c r="C58" s="277"/>
      <c r="D58" s="277"/>
      <c r="E58" s="277"/>
      <c r="F58" s="277"/>
      <c r="G58" s="277"/>
      <c r="H58" s="272"/>
      <c r="I58" s="272"/>
      <c r="J58" s="272"/>
      <c r="K58" s="272"/>
      <c r="L58" s="271"/>
      <c r="M58" s="272"/>
    </row>
    <row r="59" spans="2:13" ht="15.75">
      <c r="B59" s="273"/>
      <c r="C59" s="272"/>
      <c r="D59" s="277" t="str">
        <f>D7</f>
        <v>American Transmission Systems, Inc.</v>
      </c>
      <c r="E59" s="277"/>
      <c r="F59" s="277"/>
      <c r="G59" s="277"/>
      <c r="H59" s="277"/>
      <c r="I59" s="277"/>
      <c r="J59" s="277"/>
      <c r="K59" s="277"/>
      <c r="L59" s="345"/>
      <c r="M59" s="277"/>
    </row>
    <row r="60" spans="2:13" ht="15.75">
      <c r="B60" s="278" t="s">
        <v>27</v>
      </c>
      <c r="C60" s="278" t="s">
        <v>28</v>
      </c>
      <c r="D60" s="278" t="s">
        <v>29</v>
      </c>
      <c r="E60" s="277" t="s">
        <v>3</v>
      </c>
      <c r="F60" s="277"/>
      <c r="G60" s="346" t="s">
        <v>30</v>
      </c>
      <c r="H60" s="277"/>
      <c r="I60" s="347" t="s">
        <v>31</v>
      </c>
      <c r="J60" s="277"/>
      <c r="K60" s="348"/>
      <c r="L60" s="271"/>
      <c r="M60" s="277"/>
    </row>
    <row r="61" spans="2:13" ht="15.75">
      <c r="B61" s="273"/>
      <c r="C61" s="349" t="s">
        <v>445</v>
      </c>
      <c r="D61" s="277"/>
      <c r="E61" s="277"/>
      <c r="F61" s="277"/>
      <c r="G61" s="278"/>
      <c r="H61" s="277"/>
      <c r="I61" s="350" t="s">
        <v>33</v>
      </c>
      <c r="J61" s="277"/>
      <c r="K61" s="351"/>
      <c r="L61" s="271"/>
      <c r="M61" s="278"/>
    </row>
    <row r="62" spans="1:13" ht="15.75">
      <c r="A62" s="278" t="s">
        <v>5</v>
      </c>
      <c r="B62" s="273"/>
      <c r="C62" s="349" t="s">
        <v>446</v>
      </c>
      <c r="D62" s="350" t="s">
        <v>34</v>
      </c>
      <c r="E62" s="352"/>
      <c r="F62" s="350" t="s">
        <v>35</v>
      </c>
      <c r="H62" s="352"/>
      <c r="I62" s="278" t="s">
        <v>36</v>
      </c>
      <c r="J62" s="277"/>
      <c r="K62" s="353"/>
      <c r="L62" s="271"/>
      <c r="M62" s="278"/>
    </row>
    <row r="63" spans="1:13" ht="16.5" thickBot="1">
      <c r="A63" s="281" t="s">
        <v>7</v>
      </c>
      <c r="B63" s="354" t="s">
        <v>37</v>
      </c>
      <c r="C63" s="277"/>
      <c r="D63" s="277"/>
      <c r="E63" s="288"/>
      <c r="F63" s="277"/>
      <c r="G63" s="277"/>
      <c r="H63" s="277"/>
      <c r="I63" s="277"/>
      <c r="J63" s="277"/>
      <c r="K63" s="355"/>
      <c r="L63" s="345"/>
      <c r="M63" s="277"/>
    </row>
    <row r="64" spans="1:13" ht="15.75">
      <c r="A64" s="278"/>
      <c r="B64" s="273" t="s">
        <v>38</v>
      </c>
      <c r="C64" s="277"/>
      <c r="D64" s="277"/>
      <c r="E64" s="288"/>
      <c r="F64" s="277"/>
      <c r="G64" s="277"/>
      <c r="H64" s="277"/>
      <c r="I64" s="277"/>
      <c r="J64" s="277"/>
      <c r="K64" s="356"/>
      <c r="L64" s="345"/>
      <c r="M64" s="277"/>
    </row>
    <row r="65" spans="1:13" ht="15.75">
      <c r="A65" s="278">
        <v>1</v>
      </c>
      <c r="B65" s="273" t="s">
        <v>39</v>
      </c>
      <c r="C65" s="277" t="s">
        <v>485</v>
      </c>
      <c r="D65" s="302">
        <f>'WP01 Plant'!E20</f>
        <v>0</v>
      </c>
      <c r="E65" s="288"/>
      <c r="F65" s="277" t="s">
        <v>40</v>
      </c>
      <c r="G65" s="357" t="s">
        <v>3</v>
      </c>
      <c r="H65" s="277"/>
      <c r="I65" s="277" t="s">
        <v>3</v>
      </c>
      <c r="J65" s="277"/>
      <c r="K65" s="358"/>
      <c r="L65" s="325"/>
      <c r="M65" s="277"/>
    </row>
    <row r="66" spans="1:13" ht="15.75">
      <c r="A66" s="278">
        <v>2</v>
      </c>
      <c r="B66" s="273" t="s">
        <v>41</v>
      </c>
      <c r="C66" s="277" t="s">
        <v>486</v>
      </c>
      <c r="D66" s="302">
        <f>'WP01 Plant'!F20-'WP01 Plant'!F41</f>
        <v>5794396215.1715345</v>
      </c>
      <c r="E66" s="288"/>
      <c r="F66" s="277" t="s">
        <v>14</v>
      </c>
      <c r="G66" s="357">
        <f>I211</f>
        <v>1</v>
      </c>
      <c r="H66" s="277"/>
      <c r="I66" s="359">
        <f>+G66*D66</f>
        <v>5794396215.1715345</v>
      </c>
      <c r="J66" s="277"/>
      <c r="K66" s="358"/>
      <c r="L66" s="325"/>
      <c r="M66" s="277"/>
    </row>
    <row r="67" spans="1:13" ht="15.75">
      <c r="A67" s="278">
        <v>3</v>
      </c>
      <c r="B67" s="273" t="s">
        <v>42</v>
      </c>
      <c r="C67" s="277" t="s">
        <v>487</v>
      </c>
      <c r="D67" s="302">
        <f>'WP01 Plant'!G20</f>
        <v>0</v>
      </c>
      <c r="E67" s="288"/>
      <c r="F67" s="277" t="s">
        <v>40</v>
      </c>
      <c r="G67" s="357" t="s">
        <v>3</v>
      </c>
      <c r="H67" s="277"/>
      <c r="I67" s="359" t="s">
        <v>3</v>
      </c>
      <c r="J67" s="277"/>
      <c r="K67" s="358"/>
      <c r="L67" s="325"/>
      <c r="M67" s="277"/>
    </row>
    <row r="68" spans="1:13" ht="15.75">
      <c r="A68" s="278">
        <v>4</v>
      </c>
      <c r="B68" s="273" t="s">
        <v>43</v>
      </c>
      <c r="C68" s="277" t="s">
        <v>488</v>
      </c>
      <c r="D68" s="302">
        <f>'WP01 Plant'!H20+'WP01 Plant'!I20</f>
        <v>377234616.92370731</v>
      </c>
      <c r="E68" s="288"/>
      <c r="F68" s="277" t="s">
        <v>44</v>
      </c>
      <c r="G68" s="357">
        <f>I228</f>
        <v>1</v>
      </c>
      <c r="H68" s="277"/>
      <c r="I68" s="359">
        <f>+G68*D68</f>
        <v>377234616.92370731</v>
      </c>
      <c r="J68" s="277"/>
      <c r="K68" s="358"/>
      <c r="L68" s="325"/>
      <c r="M68" s="278"/>
    </row>
    <row r="69" spans="1:13" ht="16.5" thickBot="1">
      <c r="A69" s="278">
        <v>5</v>
      </c>
      <c r="B69" s="273" t="s">
        <v>45</v>
      </c>
      <c r="C69" s="271" t="s">
        <v>489</v>
      </c>
      <c r="D69" s="360">
        <f>'WP01 Plant'!J20</f>
        <v>0</v>
      </c>
      <c r="E69" s="288"/>
      <c r="F69" s="277" t="s">
        <v>46</v>
      </c>
      <c r="G69" s="357">
        <f>K233</f>
        <v>1</v>
      </c>
      <c r="H69" s="277"/>
      <c r="I69" s="361">
        <f>+G69*D69</f>
        <v>0</v>
      </c>
      <c r="J69" s="277"/>
      <c r="K69" s="358"/>
      <c r="L69" s="325"/>
      <c r="M69" s="278"/>
    </row>
    <row r="70" spans="1:13" ht="15.75">
      <c r="A70" s="278">
        <v>6</v>
      </c>
      <c r="B70" s="273" t="s">
        <v>47</v>
      </c>
      <c r="C70" s="277"/>
      <c r="D70" s="359">
        <f>SUM(D65:D69)</f>
        <v>6171630832.0952415</v>
      </c>
      <c r="E70" s="288"/>
      <c r="F70" s="277" t="s">
        <v>48</v>
      </c>
      <c r="G70" s="362">
        <f>IF(I70&gt;0,I70/D70,0)</f>
        <v>1</v>
      </c>
      <c r="H70" s="277"/>
      <c r="I70" s="359">
        <f>SUM(I65:I69)</f>
        <v>6171630832.0952415</v>
      </c>
      <c r="J70" s="277"/>
      <c r="K70" s="363"/>
      <c r="L70" s="345"/>
      <c r="M70" s="277"/>
    </row>
    <row r="71" spans="2:13" ht="15.75">
      <c r="B71" s="273"/>
      <c r="C71" s="277"/>
      <c r="D71" s="359"/>
      <c r="E71" s="288"/>
      <c r="F71" s="277"/>
      <c r="G71" s="362"/>
      <c r="H71" s="277"/>
      <c r="I71" s="359"/>
      <c r="J71" s="277"/>
      <c r="K71" s="363"/>
      <c r="L71" s="345"/>
      <c r="M71" s="277"/>
    </row>
    <row r="72" spans="2:13" ht="15.75">
      <c r="B72" s="273" t="s">
        <v>49</v>
      </c>
      <c r="C72" s="277"/>
      <c r="D72" s="359"/>
      <c r="E72" s="288"/>
      <c r="F72" s="277"/>
      <c r="G72" s="277"/>
      <c r="H72" s="277"/>
      <c r="I72" s="359"/>
      <c r="J72" s="277"/>
      <c r="K72" s="358"/>
      <c r="L72" s="345"/>
      <c r="M72" s="277"/>
    </row>
    <row r="73" spans="1:13" ht="15.75">
      <c r="A73" s="278">
        <v>7</v>
      </c>
      <c r="B73" s="273" t="str">
        <f>+B65</f>
        <v xml:space="preserve">  Production</v>
      </c>
      <c r="C73" s="277" t="s">
        <v>490</v>
      </c>
      <c r="D73" s="302">
        <f>'WP02 Accum Depr'!E20</f>
        <v>0</v>
      </c>
      <c r="E73" s="288"/>
      <c r="F73" s="277" t="str">
        <f t="shared" si="3" ref="F73:G77">+F65</f>
        <v>NA</v>
      </c>
      <c r="G73" s="357" t="str">
        <f t="shared" si="3"/>
        <v xml:space="preserve"> </v>
      </c>
      <c r="H73" s="277"/>
      <c r="I73" s="359" t="s">
        <v>3</v>
      </c>
      <c r="J73" s="277"/>
      <c r="K73" s="358"/>
      <c r="L73" s="345"/>
      <c r="M73" s="277"/>
    </row>
    <row r="74" spans="1:13" ht="15.75">
      <c r="A74" s="278">
        <v>8</v>
      </c>
      <c r="B74" s="273" t="str">
        <f>+B66</f>
        <v xml:space="preserve">  Transmission</v>
      </c>
      <c r="C74" s="277" t="s">
        <v>491</v>
      </c>
      <c r="D74" s="302">
        <f>'WP02 Accum Depr'!F20-'WP02 Accum Depr'!F41</f>
        <v>1338586386.6515086</v>
      </c>
      <c r="E74" s="288"/>
      <c r="F74" s="277" t="str">
        <f t="shared" si="3"/>
        <v>TP</v>
      </c>
      <c r="G74" s="357">
        <f t="shared" si="3"/>
        <v>1</v>
      </c>
      <c r="H74" s="277"/>
      <c r="I74" s="359">
        <f>+G74*D74</f>
        <v>1338586386.6515086</v>
      </c>
      <c r="J74" s="277"/>
      <c r="K74" s="358"/>
      <c r="L74" s="345"/>
      <c r="M74" s="277"/>
    </row>
    <row r="75" spans="1:13" ht="15.75">
      <c r="A75" s="278">
        <v>9</v>
      </c>
      <c r="B75" s="273" t="str">
        <f>+B67</f>
        <v xml:space="preserve">  Distribution</v>
      </c>
      <c r="C75" s="277" t="s">
        <v>492</v>
      </c>
      <c r="D75" s="302">
        <f>'WP02 Accum Depr'!G20</f>
        <v>0</v>
      </c>
      <c r="E75" s="288"/>
      <c r="F75" s="277" t="str">
        <f t="shared" si="3"/>
        <v>NA</v>
      </c>
      <c r="G75" s="357" t="str">
        <f t="shared" si="3"/>
        <v xml:space="preserve"> </v>
      </c>
      <c r="H75" s="277"/>
      <c r="I75" s="359" t="s">
        <v>3</v>
      </c>
      <c r="J75" s="277"/>
      <c r="K75" s="358"/>
      <c r="L75" s="345"/>
      <c r="M75" s="277"/>
    </row>
    <row r="76" spans="1:13" ht="15.75">
      <c r="A76" s="278">
        <v>10</v>
      </c>
      <c r="B76" s="273" t="str">
        <f>+B68</f>
        <v xml:space="preserve">  General &amp; Intangible</v>
      </c>
      <c r="C76" s="288" t="s">
        <v>493</v>
      </c>
      <c r="D76" s="302">
        <f>'WP02 Accum Depr'!H20+'WP02 Accum Depr'!I20</f>
        <v>150568108.07692307</v>
      </c>
      <c r="E76" s="288"/>
      <c r="F76" s="277" t="str">
        <f t="shared" si="3"/>
        <v>W/S</v>
      </c>
      <c r="G76" s="357">
        <f t="shared" si="3"/>
        <v>1</v>
      </c>
      <c r="H76" s="277"/>
      <c r="I76" s="359">
        <f>+G76*D76</f>
        <v>150568108.07692307</v>
      </c>
      <c r="J76" s="277"/>
      <c r="K76" s="358"/>
      <c r="L76" s="345"/>
      <c r="M76" s="278"/>
    </row>
    <row r="77" spans="1:13" ht="16.5" thickBot="1">
      <c r="A77" s="278">
        <v>11</v>
      </c>
      <c r="B77" s="273" t="str">
        <f>+B69</f>
        <v xml:space="preserve">  Common</v>
      </c>
      <c r="C77" s="271" t="s">
        <v>489</v>
      </c>
      <c r="D77" s="360">
        <f>'WP02 Accum Depr'!J20</f>
        <v>0</v>
      </c>
      <c r="E77" s="288"/>
      <c r="F77" s="277" t="str">
        <f t="shared" si="3"/>
        <v>CE</v>
      </c>
      <c r="G77" s="357">
        <f t="shared" si="3"/>
        <v>1</v>
      </c>
      <c r="H77" s="277"/>
      <c r="I77" s="361">
        <f>+G77*D77</f>
        <v>0</v>
      </c>
      <c r="J77" s="277"/>
      <c r="K77" s="358"/>
      <c r="L77" s="345"/>
      <c r="M77" s="278"/>
    </row>
    <row r="78" spans="1:13" ht="15.75">
      <c r="A78" s="278">
        <v>12</v>
      </c>
      <c r="B78" s="273" t="s">
        <v>205</v>
      </c>
      <c r="C78" s="277"/>
      <c r="D78" s="359">
        <f>SUM(D73:D77)</f>
        <v>1489154494.7284317</v>
      </c>
      <c r="E78" s="288"/>
      <c r="F78" s="277"/>
      <c r="G78" s="277"/>
      <c r="H78" s="277"/>
      <c r="I78" s="359">
        <f>SUM(I73:I77)</f>
        <v>1489154494.7284317</v>
      </c>
      <c r="J78" s="277"/>
      <c r="K78" s="358"/>
      <c r="L78" s="271"/>
      <c r="M78" s="277"/>
    </row>
    <row r="79" spans="1:13" ht="15.75">
      <c r="A79" s="278"/>
      <c r="C79" s="277" t="s">
        <v>3</v>
      </c>
      <c r="E79" s="288"/>
      <c r="F79" s="277"/>
      <c r="G79" s="362"/>
      <c r="H79" s="277"/>
      <c r="I79" s="328"/>
      <c r="J79" s="277"/>
      <c r="K79" s="363"/>
      <c r="L79" s="345"/>
      <c r="M79" s="277"/>
    </row>
    <row r="80" spans="1:13" ht="15.75">
      <c r="A80" s="278"/>
      <c r="B80" s="273" t="s">
        <v>52</v>
      </c>
      <c r="C80" s="277"/>
      <c r="D80" s="277"/>
      <c r="E80" s="288"/>
      <c r="F80" s="277"/>
      <c r="G80" s="277"/>
      <c r="H80" s="277"/>
      <c r="I80" s="328"/>
      <c r="J80" s="277"/>
      <c r="K80" s="358"/>
      <c r="L80" s="345"/>
      <c r="M80" s="277"/>
    </row>
    <row r="81" spans="1:13" ht="15.75">
      <c r="A81" s="278">
        <v>13</v>
      </c>
      <c r="B81" s="273" t="str">
        <f>+B73</f>
        <v xml:space="preserve">  Production</v>
      </c>
      <c r="C81" s="277" t="s">
        <v>189</v>
      </c>
      <c r="D81" s="359">
        <f>D65-D73</f>
        <v>0</v>
      </c>
      <c r="E81" s="288"/>
      <c r="F81" s="277"/>
      <c r="G81" s="362"/>
      <c r="H81" s="277"/>
      <c r="I81" s="359" t="s">
        <v>3</v>
      </c>
      <c r="J81" s="277"/>
      <c r="K81" s="363"/>
      <c r="L81" s="345"/>
      <c r="M81" s="277"/>
    </row>
    <row r="82" spans="1:13" ht="15.75">
      <c r="A82" s="278">
        <v>14</v>
      </c>
      <c r="B82" s="273" t="str">
        <f>+B74</f>
        <v xml:space="preserve">  Transmission</v>
      </c>
      <c r="C82" s="277" t="s">
        <v>190</v>
      </c>
      <c r="D82" s="359">
        <f>D66-D74</f>
        <v>4455809828.5200262</v>
      </c>
      <c r="E82" s="288"/>
      <c r="F82" s="277"/>
      <c r="G82" s="357"/>
      <c r="H82" s="277"/>
      <c r="I82" s="359">
        <f>I66-I74</f>
        <v>4455809828.5200262</v>
      </c>
      <c r="J82" s="277"/>
      <c r="K82" s="358"/>
      <c r="L82" s="345"/>
      <c r="M82" s="277"/>
    </row>
    <row r="83" spans="1:13" ht="15.75">
      <c r="A83" s="278">
        <v>15</v>
      </c>
      <c r="B83" s="273" t="str">
        <f>+B75</f>
        <v xml:space="preserve">  Distribution</v>
      </c>
      <c r="C83" s="277" t="s">
        <v>191</v>
      </c>
      <c r="D83" s="359">
        <f>D67-D75</f>
        <v>0</v>
      </c>
      <c r="E83" s="288"/>
      <c r="F83" s="277"/>
      <c r="G83" s="362"/>
      <c r="H83" s="277"/>
      <c r="I83" s="359" t="s">
        <v>3</v>
      </c>
      <c r="J83" s="277"/>
      <c r="K83" s="364"/>
      <c r="L83" s="345"/>
      <c r="M83" s="277"/>
    </row>
    <row r="84" spans="1:13" ht="15.75">
      <c r="A84" s="278">
        <v>16</v>
      </c>
      <c r="B84" s="273" t="str">
        <f>+B76</f>
        <v xml:space="preserve">  General &amp; Intangible</v>
      </c>
      <c r="C84" s="277" t="s">
        <v>192</v>
      </c>
      <c r="D84" s="294">
        <f>D68-D76</f>
        <v>226666508.84678423</v>
      </c>
      <c r="E84" s="288"/>
      <c r="F84" s="277"/>
      <c r="G84" s="362"/>
      <c r="H84" s="277"/>
      <c r="I84" s="359">
        <f>I68-I76</f>
        <v>226666508.84678423</v>
      </c>
      <c r="J84" s="277"/>
      <c r="K84" s="362"/>
      <c r="L84" s="345"/>
      <c r="M84" s="278"/>
    </row>
    <row r="85" spans="1:13" ht="16.5" thickBot="1">
      <c r="A85" s="278">
        <v>17</v>
      </c>
      <c r="B85" s="273" t="str">
        <f>+B77</f>
        <v xml:space="preserve">  Common</v>
      </c>
      <c r="C85" s="277" t="s">
        <v>193</v>
      </c>
      <c r="D85" s="361">
        <f>D69-D77</f>
        <v>0</v>
      </c>
      <c r="E85" s="288"/>
      <c r="F85" s="277"/>
      <c r="G85" s="362"/>
      <c r="H85" s="277"/>
      <c r="I85" s="361">
        <f>I69-I77</f>
        <v>0</v>
      </c>
      <c r="J85" s="277"/>
      <c r="K85" s="362"/>
      <c r="L85" s="345"/>
      <c r="M85" s="278"/>
    </row>
    <row r="86" spans="1:13" ht="15.75">
      <c r="A86" s="278">
        <v>18</v>
      </c>
      <c r="B86" s="273" t="s">
        <v>53</v>
      </c>
      <c r="C86" s="277"/>
      <c r="D86" s="359">
        <f>SUM(D81:D85)</f>
        <v>4682476337.3668108</v>
      </c>
      <c r="E86" s="288"/>
      <c r="F86" s="277" t="s">
        <v>54</v>
      </c>
      <c r="G86" s="362">
        <f>IF(I86&gt;0,I86/D86,0)</f>
        <v>1</v>
      </c>
      <c r="H86" s="277"/>
      <c r="I86" s="359">
        <f>SUM(I81:I85)</f>
        <v>4682476337.3668108</v>
      </c>
      <c r="J86" s="277"/>
      <c r="K86" s="277"/>
      <c r="L86" s="345"/>
      <c r="M86" s="277"/>
    </row>
    <row r="87" spans="1:13" ht="15.75">
      <c r="A87" s="278"/>
      <c r="C87" s="277"/>
      <c r="D87" s="359"/>
      <c r="E87" s="288"/>
      <c r="H87" s="277"/>
      <c r="I87" s="359"/>
      <c r="J87" s="277"/>
      <c r="K87" s="362"/>
      <c r="L87" s="345"/>
      <c r="M87" s="277"/>
    </row>
    <row r="88" spans="1:13" ht="15.75">
      <c r="A88" s="278"/>
      <c r="B88" s="273" t="s">
        <v>194</v>
      </c>
      <c r="C88" s="277"/>
      <c r="D88" s="359"/>
      <c r="E88" s="288"/>
      <c r="F88" s="277"/>
      <c r="G88" s="277"/>
      <c r="H88" s="277"/>
      <c r="I88" s="359"/>
      <c r="J88" s="277"/>
      <c r="K88" s="277"/>
      <c r="L88" s="345" t="s">
        <v>3</v>
      </c>
      <c r="M88" s="277"/>
    </row>
    <row r="89" spans="1:13" ht="15.75">
      <c r="A89" s="278">
        <v>19</v>
      </c>
      <c r="B89" s="273" t="s">
        <v>55</v>
      </c>
      <c r="C89" s="548" t="s">
        <v>840</v>
      </c>
      <c r="D89" s="302">
        <f>'WP03 ADIT'!E27</f>
        <v>0</v>
      </c>
      <c r="E89" s="288"/>
      <c r="F89" s="288" t="str">
        <f>+F73</f>
        <v>NA</v>
      </c>
      <c r="G89" s="365"/>
      <c r="H89" s="277"/>
      <c r="I89" s="359"/>
      <c r="J89" s="277"/>
      <c r="K89" s="362"/>
      <c r="L89" s="366"/>
      <c r="M89" s="278"/>
    </row>
    <row r="90" spans="1:13" ht="15.75">
      <c r="A90" s="278">
        <v>20</v>
      </c>
      <c r="B90" s="273" t="s">
        <v>57</v>
      </c>
      <c r="C90" s="548" t="s">
        <v>840</v>
      </c>
      <c r="D90" s="302">
        <f>'WP03 ADIT'!F27</f>
        <v>-1000467118.9231166</v>
      </c>
      <c r="E90" s="277"/>
      <c r="F90" s="277" t="s">
        <v>58</v>
      </c>
      <c r="G90" s="357">
        <f>+G86</f>
        <v>1</v>
      </c>
      <c r="H90" s="277"/>
      <c r="I90" s="359">
        <f>D90*G90</f>
        <v>-1000467118.9231166</v>
      </c>
      <c r="J90" s="277"/>
      <c r="K90" s="362"/>
      <c r="L90" s="366"/>
      <c r="M90" s="278"/>
    </row>
    <row r="91" spans="1:13" ht="15.75">
      <c r="A91" s="278">
        <v>21</v>
      </c>
      <c r="B91" s="273" t="s">
        <v>59</v>
      </c>
      <c r="C91" s="548" t="s">
        <v>840</v>
      </c>
      <c r="D91" s="367">
        <f>'WP03 ADIT'!G27</f>
        <v>-9540119.2409807816</v>
      </c>
      <c r="E91" s="277"/>
      <c r="F91" s="277" t="s">
        <v>58</v>
      </c>
      <c r="G91" s="357">
        <f>+G90</f>
        <v>1</v>
      </c>
      <c r="H91" s="277"/>
      <c r="I91" s="359">
        <f>D91*G91</f>
        <v>-9540119.2409807816</v>
      </c>
      <c r="J91" s="277"/>
      <c r="K91" s="362"/>
      <c r="L91" s="366"/>
      <c r="M91" s="278"/>
    </row>
    <row r="92" spans="1:13" ht="15.75">
      <c r="A92" s="278">
        <v>22</v>
      </c>
      <c r="B92" s="273" t="s">
        <v>60</v>
      </c>
      <c r="C92" s="548" t="s">
        <v>840</v>
      </c>
      <c r="D92" s="367">
        <f>'WP03 ADIT'!H27</f>
        <v>92441920.787874937</v>
      </c>
      <c r="E92" s="277"/>
      <c r="F92" s="277" t="str">
        <f>+F91</f>
        <v>NP</v>
      </c>
      <c r="G92" s="357">
        <f>+G91</f>
        <v>1</v>
      </c>
      <c r="H92" s="277"/>
      <c r="I92" s="359">
        <f>D92*G92</f>
        <v>92441920.787874937</v>
      </c>
      <c r="J92" s="277"/>
      <c r="K92" s="362"/>
      <c r="L92" s="366"/>
      <c r="M92" s="278"/>
    </row>
    <row r="93" spans="1:13" ht="15.75">
      <c r="A93" s="305">
        <v>23</v>
      </c>
      <c r="B93" s="503" t="s">
        <v>61</v>
      </c>
      <c r="C93" s="548" t="s">
        <v>840</v>
      </c>
      <c r="D93" s="367">
        <f>'WP03 ADIT'!I27</f>
        <v>0</v>
      </c>
      <c r="E93" s="277"/>
      <c r="F93" s="277" t="s">
        <v>58</v>
      </c>
      <c r="G93" s="357">
        <f>+G91</f>
        <v>1</v>
      </c>
      <c r="H93" s="277"/>
      <c r="I93" s="368">
        <f>D93*G93</f>
        <v>0</v>
      </c>
      <c r="J93" s="277"/>
      <c r="K93" s="362"/>
      <c r="L93" s="366"/>
      <c r="M93" s="278"/>
    </row>
    <row r="94" spans="1:13" s="1" customFormat="1" ht="15.75">
      <c r="A94" s="578">
        <v>24</v>
      </c>
      <c r="B94" s="762" t="s">
        <v>835</v>
      </c>
      <c r="C94" s="548"/>
      <c r="D94" s="598">
        <f>SUM(D89:D93)</f>
        <v>-917565317.37622237</v>
      </c>
      <c r="E94" s="599"/>
      <c r="F94" s="599"/>
      <c r="G94" s="599"/>
      <c r="H94" s="599"/>
      <c r="I94" s="575">
        <f>SUM(I89:I93)</f>
        <v>-917565317.37622237</v>
      </c>
      <c r="J94" s="548"/>
      <c r="K94" s="548"/>
      <c r="L94" s="600"/>
      <c r="M94" s="548"/>
    </row>
    <row r="95" spans="1:13" ht="15.75">
      <c r="A95" s="278"/>
      <c r="C95" s="277"/>
      <c r="D95" s="359"/>
      <c r="E95" s="277"/>
      <c r="F95" s="277"/>
      <c r="G95" s="362"/>
      <c r="H95" s="277"/>
      <c r="I95" s="359"/>
      <c r="J95" s="277"/>
      <c r="K95" s="362"/>
      <c r="L95" s="371"/>
      <c r="M95" s="277"/>
    </row>
    <row r="96" spans="1:13" ht="15.75">
      <c r="A96" s="278">
        <v>25</v>
      </c>
      <c r="B96" s="273" t="s">
        <v>62</v>
      </c>
      <c r="C96" s="277" t="s">
        <v>494</v>
      </c>
      <c r="D96" s="302">
        <f>'WP04 Other RB'!E9</f>
        <v>0</v>
      </c>
      <c r="E96" s="288"/>
      <c r="F96" s="277" t="str">
        <f>+F74</f>
        <v>TP</v>
      </c>
      <c r="G96" s="357">
        <f>+G74</f>
        <v>1</v>
      </c>
      <c r="H96" s="277"/>
      <c r="I96" s="359">
        <f>+G96*D96</f>
        <v>0</v>
      </c>
      <c r="J96" s="277"/>
      <c r="K96" s="277"/>
      <c r="L96" s="345"/>
      <c r="M96" s="277"/>
    </row>
    <row r="97" spans="1:13" ht="15.75">
      <c r="A97" s="278"/>
      <c r="B97" s="273"/>
      <c r="C97" s="277"/>
      <c r="D97" s="328"/>
      <c r="E97" s="288"/>
      <c r="F97" s="277"/>
      <c r="G97" s="277"/>
      <c r="H97" s="277"/>
      <c r="I97" s="359"/>
      <c r="J97" s="277"/>
      <c r="K97" s="277"/>
      <c r="L97" s="345"/>
      <c r="M97" s="277"/>
    </row>
    <row r="98" spans="1:13" ht="15.75">
      <c r="A98" s="278"/>
      <c r="B98" s="273" t="s">
        <v>195</v>
      </c>
      <c r="C98" s="277" t="s">
        <v>3</v>
      </c>
      <c r="D98" s="328"/>
      <c r="E98" s="288"/>
      <c r="F98" s="277"/>
      <c r="G98" s="277"/>
      <c r="H98" s="277"/>
      <c r="I98" s="328"/>
      <c r="J98" s="277"/>
      <c r="K98" s="277"/>
      <c r="L98" s="345"/>
      <c r="M98" s="277"/>
    </row>
    <row r="99" spans="1:13" ht="15.75">
      <c r="A99" s="278">
        <v>26</v>
      </c>
      <c r="B99" s="273" t="s">
        <v>63</v>
      </c>
      <c r="C99" s="269" t="s">
        <v>64</v>
      </c>
      <c r="D99" s="359">
        <f>(D146-D144-7734268)/8</f>
        <v>21556109.689999998</v>
      </c>
      <c r="E99" s="288"/>
      <c r="F99" s="277"/>
      <c r="G99" s="362"/>
      <c r="H99" s="277"/>
      <c r="I99" s="359">
        <f>+(I146-I144-7734268)/8</f>
        <v>20676817.757648837</v>
      </c>
      <c r="J99" s="272"/>
      <c r="K99" s="362"/>
      <c r="L99" s="345"/>
      <c r="M99" s="278"/>
    </row>
    <row r="100" spans="1:13" ht="15.75">
      <c r="A100" s="278">
        <v>27</v>
      </c>
      <c r="B100" s="273" t="s">
        <v>196</v>
      </c>
      <c r="C100" s="277" t="s">
        <v>495</v>
      </c>
      <c r="D100" s="302">
        <f>'WP04 Other RB'!F9</f>
        <v>677472</v>
      </c>
      <c r="E100" s="288"/>
      <c r="F100" s="277" t="s">
        <v>65</v>
      </c>
      <c r="G100" s="357">
        <f>I220</f>
        <v>0.94700942384920561</v>
      </c>
      <c r="H100" s="277"/>
      <c r="I100" s="359">
        <f>+G100*D100</f>
        <v>641572.36839396902</v>
      </c>
      <c r="J100" s="277"/>
      <c r="K100" s="362"/>
      <c r="L100" s="345"/>
      <c r="M100" s="278"/>
    </row>
    <row r="101" spans="1:13" ht="15.75">
      <c r="A101" s="278" t="s">
        <v>519</v>
      </c>
      <c r="B101" s="273" t="s">
        <v>66</v>
      </c>
      <c r="C101" s="277" t="s">
        <v>522</v>
      </c>
      <c r="D101" s="367">
        <f>'WP04 Other RB'!G9</f>
        <v>4146032</v>
      </c>
      <c r="E101" s="288"/>
      <c r="F101" s="277" t="s">
        <v>67</v>
      </c>
      <c r="G101" s="357">
        <f>+G70</f>
        <v>1</v>
      </c>
      <c r="H101" s="277"/>
      <c r="I101" s="368">
        <f>+G101*D101</f>
        <v>4146032</v>
      </c>
      <c r="J101" s="277"/>
      <c r="K101" s="362"/>
      <c r="L101" s="345"/>
      <c r="M101" s="278"/>
    </row>
    <row r="102" spans="1:13" ht="15.75">
      <c r="A102" s="278" t="s">
        <v>520</v>
      </c>
      <c r="B102" s="273" t="s">
        <v>523</v>
      </c>
      <c r="C102" s="277"/>
      <c r="D102" s="367">
        <f>-'WP04 Other RB'!K17</f>
        <v>0</v>
      </c>
      <c r="E102" s="288"/>
      <c r="F102" s="277" t="s">
        <v>58</v>
      </c>
      <c r="G102" s="373">
        <f>G86</f>
        <v>1</v>
      </c>
      <c r="H102" s="277"/>
      <c r="I102" s="368">
        <f>D102*G102</f>
        <v>0</v>
      </c>
      <c r="J102" s="277"/>
      <c r="K102" s="362"/>
      <c r="L102" s="345"/>
      <c r="M102" s="278"/>
    </row>
    <row r="103" spans="1:13" ht="16.5" thickBot="1">
      <c r="A103" s="278" t="s">
        <v>521</v>
      </c>
      <c r="B103" s="273" t="s">
        <v>562</v>
      </c>
      <c r="C103" s="277"/>
      <c r="D103" s="360">
        <f>-'WP04 Other RB'!K25</f>
        <v>0</v>
      </c>
      <c r="E103" s="288"/>
      <c r="F103" s="277" t="s">
        <v>44</v>
      </c>
      <c r="G103" s="373">
        <f>I228</f>
        <v>1</v>
      </c>
      <c r="H103" s="277"/>
      <c r="I103" s="361">
        <f>D103*G103</f>
        <v>0</v>
      </c>
      <c r="J103" s="277"/>
      <c r="K103" s="362"/>
      <c r="L103" s="345"/>
      <c r="M103" s="278"/>
    </row>
    <row r="104" spans="1:13" ht="15.75">
      <c r="A104" s="278">
        <v>29</v>
      </c>
      <c r="B104" s="273" t="s">
        <v>565</v>
      </c>
      <c r="C104" s="272"/>
      <c r="D104" s="294">
        <f>SUM(D99:D103)</f>
        <v>26379613.689999998</v>
      </c>
      <c r="E104" s="272"/>
      <c r="F104" s="272"/>
      <c r="G104" s="272"/>
      <c r="H104" s="272"/>
      <c r="I104" s="359">
        <f>SUM(I99:I103)</f>
        <v>25464422.126042806</v>
      </c>
      <c r="J104" s="272"/>
      <c r="K104" s="272"/>
      <c r="L104" s="271"/>
      <c r="M104" s="277"/>
    </row>
    <row r="105" spans="3:13" ht="16.5" thickBot="1">
      <c r="C105" s="277"/>
      <c r="D105" s="361"/>
      <c r="E105" s="277"/>
      <c r="F105" s="277"/>
      <c r="G105" s="277"/>
      <c r="H105" s="277"/>
      <c r="I105" s="361"/>
      <c r="J105" s="277"/>
      <c r="K105" s="277"/>
      <c r="L105" s="345"/>
      <c r="M105" s="277"/>
    </row>
    <row r="106" spans="1:13" ht="16.5" thickBot="1">
      <c r="A106" s="278">
        <v>30</v>
      </c>
      <c r="B106" s="273" t="s">
        <v>68</v>
      </c>
      <c r="C106" s="277"/>
      <c r="D106" s="374">
        <f>+D104+D96+D94+D86</f>
        <v>3791290633.6805887</v>
      </c>
      <c r="E106" s="277"/>
      <c r="F106" s="277"/>
      <c r="G106" s="362"/>
      <c r="H106" s="277"/>
      <c r="I106" s="374">
        <f>+I104+I96+I94+I86</f>
        <v>3790375442.1166315</v>
      </c>
      <c r="J106" s="277"/>
      <c r="K106" s="362"/>
      <c r="L106" s="345"/>
      <c r="M106" s="277"/>
    </row>
    <row r="107" spans="1:13" ht="16.5" thickTop="1">
      <c r="A107" s="278"/>
      <c r="B107" s="273"/>
      <c r="C107" s="277"/>
      <c r="D107" s="375"/>
      <c r="E107" s="277"/>
      <c r="F107" s="277"/>
      <c r="G107" s="362"/>
      <c r="H107" s="277"/>
      <c r="I107" s="376"/>
      <c r="J107" s="277"/>
      <c r="K107" s="362"/>
      <c r="L107" s="345"/>
      <c r="M107" s="277"/>
    </row>
    <row r="108" spans="1:13" ht="15.75">
      <c r="A108" s="278"/>
      <c r="B108" s="273"/>
      <c r="C108" s="277"/>
      <c r="D108" s="375"/>
      <c r="E108" s="277"/>
      <c r="F108" s="277"/>
      <c r="G108" s="362"/>
      <c r="H108" s="277"/>
      <c r="I108" s="376"/>
      <c r="J108" s="277"/>
      <c r="K108" s="362"/>
      <c r="L108" s="345"/>
      <c r="M108" s="277"/>
    </row>
    <row r="109" spans="1:13" ht="15.75">
      <c r="A109" s="278"/>
      <c r="B109" s="273"/>
      <c r="C109" s="277"/>
      <c r="D109" s="375"/>
      <c r="E109" s="277"/>
      <c r="F109" s="277"/>
      <c r="G109" s="362"/>
      <c r="H109" s="277"/>
      <c r="I109" s="376"/>
      <c r="J109" s="277"/>
      <c r="K109" s="362"/>
      <c r="L109" s="345"/>
      <c r="M109" s="277"/>
    </row>
    <row r="110" spans="1:13" ht="15.75">
      <c r="A110" s="278"/>
      <c r="B110" s="273"/>
      <c r="C110" s="277"/>
      <c r="D110" s="376"/>
      <c r="E110" s="277"/>
      <c r="F110" s="277"/>
      <c r="G110" s="362"/>
      <c r="H110" s="277"/>
      <c r="I110" s="376"/>
      <c r="J110" s="277"/>
      <c r="K110" s="362"/>
      <c r="L110" s="345"/>
      <c r="M110" s="277"/>
    </row>
    <row r="111" spans="1:13" ht="15.75">
      <c r="A111" s="278"/>
      <c r="B111" s="273"/>
      <c r="C111" s="277"/>
      <c r="D111" s="376"/>
      <c r="E111" s="277"/>
      <c r="F111" s="277"/>
      <c r="G111" s="362"/>
      <c r="H111" s="277"/>
      <c r="I111" s="376"/>
      <c r="J111" s="277"/>
      <c r="K111" s="362"/>
      <c r="L111" s="345"/>
      <c r="M111" s="277"/>
    </row>
    <row r="112" spans="1:13" ht="15.75">
      <c r="A112" s="278"/>
      <c r="B112" s="273"/>
      <c r="C112" s="277"/>
      <c r="D112" s="376"/>
      <c r="E112" s="277"/>
      <c r="F112" s="277"/>
      <c r="G112" s="362"/>
      <c r="H112" s="277"/>
      <c r="I112" s="376"/>
      <c r="J112" s="277"/>
      <c r="K112" s="362"/>
      <c r="L112" s="345"/>
      <c r="M112" s="277"/>
    </row>
    <row r="113" spans="1:13" ht="15.75">
      <c r="A113" s="278"/>
      <c r="B113" s="273"/>
      <c r="C113" s="277"/>
      <c r="D113" s="376"/>
      <c r="E113" s="277"/>
      <c r="F113" s="277"/>
      <c r="G113" s="362"/>
      <c r="H113" s="277"/>
      <c r="I113" s="376"/>
      <c r="J113" s="277"/>
      <c r="K113" s="362"/>
      <c r="L113" s="345"/>
      <c r="M113" s="277"/>
    </row>
    <row r="114" spans="1:13" ht="15.75">
      <c r="A114" s="278"/>
      <c r="B114" s="273"/>
      <c r="C114" s="277"/>
      <c r="D114" s="376"/>
      <c r="E114" s="277"/>
      <c r="F114" s="277"/>
      <c r="G114" s="362"/>
      <c r="H114" s="277"/>
      <c r="I114" s="376"/>
      <c r="J114" s="277"/>
      <c r="K114" s="362"/>
      <c r="L114" s="345"/>
      <c r="M114" s="277"/>
    </row>
    <row r="115" spans="1:13" ht="15.75">
      <c r="A115" s="278"/>
      <c r="B115" s="273"/>
      <c r="C115" s="277"/>
      <c r="D115" s="376"/>
      <c r="E115" s="277"/>
      <c r="F115" s="277"/>
      <c r="G115" s="362"/>
      <c r="H115" s="277"/>
      <c r="I115" s="376"/>
      <c r="J115" s="277"/>
      <c r="K115" s="362"/>
      <c r="L115" s="345"/>
      <c r="M115" s="277"/>
    </row>
    <row r="116" spans="1:13" ht="15.75">
      <c r="A116" s="278"/>
      <c r="B116" s="273"/>
      <c r="C116" s="277"/>
      <c r="D116" s="376"/>
      <c r="E116" s="277"/>
      <c r="F116" s="277"/>
      <c r="G116" s="362"/>
      <c r="H116" s="277"/>
      <c r="I116" s="376"/>
      <c r="J116" s="277"/>
      <c r="K116" s="362"/>
      <c r="L116" s="345"/>
      <c r="M116" s="277"/>
    </row>
    <row r="117" spans="1:13" ht="15.75">
      <c r="A117" s="278"/>
      <c r="B117" s="273"/>
      <c r="C117" s="277"/>
      <c r="D117" s="376"/>
      <c r="E117" s="277"/>
      <c r="F117" s="277"/>
      <c r="G117" s="362"/>
      <c r="H117" s="277"/>
      <c r="I117" s="376"/>
      <c r="J117" s="277"/>
      <c r="K117" s="362"/>
      <c r="L117" s="345"/>
      <c r="M117" s="277"/>
    </row>
    <row r="118" spans="1:13" ht="15.75">
      <c r="A118" s="278"/>
      <c r="B118" s="273"/>
      <c r="C118" s="277"/>
      <c r="D118" s="376"/>
      <c r="E118" s="277"/>
      <c r="F118" s="277"/>
      <c r="G118" s="362"/>
      <c r="H118" s="277"/>
      <c r="I118" s="376"/>
      <c r="J118" s="277"/>
      <c r="K118" s="362"/>
      <c r="L118" s="345"/>
      <c r="M118" s="277"/>
    </row>
    <row r="119" spans="1:13" ht="15.75">
      <c r="A119" s="278"/>
      <c r="B119" s="273"/>
      <c r="C119" s="277"/>
      <c r="D119" s="376"/>
      <c r="E119" s="277"/>
      <c r="F119" s="277"/>
      <c r="G119" s="362"/>
      <c r="H119" s="277"/>
      <c r="I119" s="376"/>
      <c r="J119" s="277"/>
      <c r="K119" s="362"/>
      <c r="L119" s="345"/>
      <c r="M119" s="277"/>
    </row>
    <row r="120" spans="1:12" ht="15.75">
      <c r="A120" s="377"/>
      <c r="B120" s="273"/>
      <c r="C120" s="277"/>
      <c r="D120" s="376"/>
      <c r="E120" s="277"/>
      <c r="F120" s="277"/>
      <c r="G120" s="362"/>
      <c r="H120" s="277"/>
      <c r="I120" s="376"/>
      <c r="J120" s="288"/>
      <c r="K120" s="378"/>
      <c r="L120" s="325"/>
    </row>
    <row r="121" spans="1:12" ht="15.75">
      <c r="A121" s="377"/>
      <c r="B121" s="324"/>
      <c r="C121" s="277"/>
      <c r="D121" s="376"/>
      <c r="E121" s="277"/>
      <c r="F121" s="277"/>
      <c r="G121" s="362"/>
      <c r="H121" s="277"/>
      <c r="I121" s="376"/>
      <c r="J121" s="277"/>
      <c r="K121" s="378"/>
      <c r="L121" s="325"/>
    </row>
    <row r="122" spans="2:13" ht="15.75">
      <c r="B122" s="273"/>
      <c r="C122" s="273"/>
      <c r="D122" s="271"/>
      <c r="E122" s="273"/>
      <c r="F122" s="273"/>
      <c r="G122" s="273"/>
      <c r="H122" s="272"/>
      <c r="I122" s="278"/>
      <c r="J122" s="278"/>
      <c r="K122" s="270"/>
      <c r="L122" s="271"/>
      <c r="M122" s="272"/>
    </row>
    <row r="123" spans="2:13" ht="15.75">
      <c r="B123" s="273"/>
      <c r="C123" s="273"/>
      <c r="D123" s="271"/>
      <c r="E123" s="273"/>
      <c r="F123" s="273"/>
      <c r="G123" s="273"/>
      <c r="H123" s="272"/>
      <c r="I123" s="270"/>
      <c r="J123" s="270"/>
      <c r="K123" s="270"/>
      <c r="L123" s="271"/>
      <c r="M123" s="272"/>
    </row>
    <row r="124" spans="2:13" ht="16.5" customHeight="1">
      <c r="B124" s="273"/>
      <c r="C124" s="273"/>
      <c r="D124" s="271"/>
      <c r="E124" s="273"/>
      <c r="F124" s="273"/>
      <c r="G124" s="273"/>
      <c r="H124" s="272"/>
      <c r="I124" s="272"/>
      <c r="K124" s="270" t="s">
        <v>306</v>
      </c>
      <c r="L124" s="271"/>
      <c r="M124" s="272"/>
    </row>
    <row r="125" spans="2:13" ht="16.5" customHeight="1">
      <c r="B125" s="273"/>
      <c r="C125" s="273"/>
      <c r="D125" s="271"/>
      <c r="E125" s="273"/>
      <c r="F125" s="273"/>
      <c r="G125" s="273"/>
      <c r="H125" s="272"/>
      <c r="I125" s="272"/>
      <c r="J125" s="272"/>
      <c r="K125" s="270" t="s">
        <v>182</v>
      </c>
      <c r="L125" s="271"/>
      <c r="M125" s="272"/>
    </row>
    <row r="126" spans="2:13" ht="16.5" customHeight="1">
      <c r="B126" s="273"/>
      <c r="C126" s="273"/>
      <c r="D126" s="271"/>
      <c r="E126" s="273"/>
      <c r="F126" s="273"/>
      <c r="G126" s="273"/>
      <c r="H126" s="272"/>
      <c r="I126" s="272"/>
      <c r="J126" s="272"/>
      <c r="K126" s="270"/>
      <c r="L126" s="271"/>
      <c r="M126" s="272"/>
    </row>
    <row r="127" spans="2:13" ht="15.75">
      <c r="B127" s="273" t="s">
        <v>1</v>
      </c>
      <c r="C127" s="273"/>
      <c r="D127" s="271" t="s">
        <v>2</v>
      </c>
      <c r="E127" s="273"/>
      <c r="F127" s="273"/>
      <c r="G127" s="273"/>
      <c r="H127" s="274"/>
      <c r="I127" s="275"/>
      <c r="J127" s="274"/>
      <c r="K127" s="276" t="str">
        <f>K4</f>
        <v>For the 12 months ended 12/31/2023</v>
      </c>
      <c r="L127" s="271"/>
      <c r="M127" s="272"/>
    </row>
    <row r="128" spans="2:13" ht="15.75">
      <c r="B128" s="273"/>
      <c r="C128" s="277" t="s">
        <v>3</v>
      </c>
      <c r="D128" s="277" t="s">
        <v>4</v>
      </c>
      <c r="E128" s="277"/>
      <c r="F128" s="277"/>
      <c r="G128" s="277"/>
      <c r="H128" s="272"/>
      <c r="I128" s="272"/>
      <c r="J128" s="272"/>
      <c r="K128" s="272"/>
      <c r="L128" s="271"/>
      <c r="M128" s="272"/>
    </row>
    <row r="129" spans="2:13" ht="15.75">
      <c r="B129" s="273"/>
      <c r="C129" s="277"/>
      <c r="D129" s="277"/>
      <c r="E129" s="277"/>
      <c r="F129" s="277"/>
      <c r="G129" s="277"/>
      <c r="H129" s="272"/>
      <c r="I129" s="272"/>
      <c r="J129" s="272"/>
      <c r="K129" s="272"/>
      <c r="L129" s="271"/>
      <c r="M129" s="272"/>
    </row>
    <row r="130" spans="1:13" ht="15.75">
      <c r="A130" s="278"/>
      <c r="D130" s="269" t="str">
        <f>D7</f>
        <v>American Transmission Systems, Inc.</v>
      </c>
      <c r="J130" s="277"/>
      <c r="K130" s="277"/>
      <c r="L130" s="345"/>
      <c r="M130" s="277"/>
    </row>
    <row r="131" spans="1:13" ht="15.75">
      <c r="A131" s="278"/>
      <c r="B131" s="278" t="s">
        <v>27</v>
      </c>
      <c r="C131" s="278" t="s">
        <v>28</v>
      </c>
      <c r="D131" s="278" t="s">
        <v>29</v>
      </c>
      <c r="E131" s="277" t="s">
        <v>3</v>
      </c>
      <c r="F131" s="277"/>
      <c r="G131" s="346" t="s">
        <v>30</v>
      </c>
      <c r="H131" s="277"/>
      <c r="I131" s="347" t="s">
        <v>31</v>
      </c>
      <c r="J131" s="277"/>
      <c r="K131" s="277"/>
      <c r="L131" s="271"/>
      <c r="M131" s="277"/>
    </row>
    <row r="132" spans="1:13" ht="15.75">
      <c r="A132" s="278" t="s">
        <v>5</v>
      </c>
      <c r="B132" s="273"/>
      <c r="C132" s="349" t="s">
        <v>445</v>
      </c>
      <c r="D132" s="277"/>
      <c r="E132" s="277"/>
      <c r="F132" s="277"/>
      <c r="G132" s="278"/>
      <c r="H132" s="277"/>
      <c r="I132" s="350" t="s">
        <v>33</v>
      </c>
      <c r="J132" s="277"/>
      <c r="K132" s="350"/>
      <c r="L132" s="271"/>
      <c r="M132" s="277"/>
    </row>
    <row r="133" spans="1:13" ht="16.5" thickBot="1">
      <c r="A133" s="281" t="s">
        <v>7</v>
      </c>
      <c r="B133" s="273"/>
      <c r="C133" s="349" t="s">
        <v>446</v>
      </c>
      <c r="D133" s="350" t="s">
        <v>34</v>
      </c>
      <c r="E133" s="805"/>
      <c r="F133" s="350" t="s">
        <v>35</v>
      </c>
      <c r="H133" s="352"/>
      <c r="I133" s="278" t="s">
        <v>36</v>
      </c>
      <c r="J133" s="277"/>
      <c r="K133" s="350"/>
      <c r="L133" s="379"/>
      <c r="M133" s="277"/>
    </row>
    <row r="134" spans="1:13" ht="15.75">
      <c r="A134" s="278"/>
      <c r="B134" s="273" t="s">
        <v>524</v>
      </c>
      <c r="C134" s="277"/>
      <c r="D134" s="277"/>
      <c r="E134" s="288"/>
      <c r="F134" s="277"/>
      <c r="G134" s="277"/>
      <c r="H134" s="277"/>
      <c r="I134" s="277"/>
      <c r="J134" s="277"/>
      <c r="K134" s="277"/>
      <c r="L134" s="345"/>
      <c r="M134" s="277"/>
    </row>
    <row r="135" spans="1:13" ht="15.75">
      <c r="A135" s="278">
        <v>1</v>
      </c>
      <c r="B135" s="273" t="s">
        <v>69</v>
      </c>
      <c r="C135" s="277" t="s">
        <v>173</v>
      </c>
      <c r="D135" s="619">
        <v>132734054.06999999</v>
      </c>
      <c r="E135" s="288"/>
      <c r="F135" s="277" t="s">
        <v>65</v>
      </c>
      <c r="G135" s="357">
        <f>I220</f>
        <v>0.94700942384920561</v>
      </c>
      <c r="H135" s="277"/>
      <c r="I135" s="359">
        <f>+G135*D135</f>
        <v>125700400.06999999</v>
      </c>
      <c r="J135" s="802"/>
      <c r="K135" s="277"/>
      <c r="L135" s="345"/>
      <c r="M135" s="278"/>
    </row>
    <row r="136" spans="1:13" ht="15.75">
      <c r="A136" s="305" t="s">
        <v>9</v>
      </c>
      <c r="B136" s="324" t="s">
        <v>447</v>
      </c>
      <c r="C136" s="288"/>
      <c r="D136" s="302"/>
      <c r="E136" s="288"/>
      <c r="F136" s="380"/>
      <c r="G136" s="373">
        <v>1</v>
      </c>
      <c r="H136" s="277"/>
      <c r="I136" s="359">
        <f>+G136*D136</f>
        <v>0</v>
      </c>
      <c r="J136" s="272"/>
      <c r="K136" s="277"/>
      <c r="L136" s="345"/>
      <c r="M136" s="278"/>
    </row>
    <row r="137" spans="1:13" ht="15.75">
      <c r="A137" s="278">
        <v>2</v>
      </c>
      <c r="B137" s="273" t="s">
        <v>70</v>
      </c>
      <c r="C137" s="277" t="s">
        <v>174</v>
      </c>
      <c r="D137" s="302"/>
      <c r="E137" s="288"/>
      <c r="F137" s="277" t="s">
        <v>3</v>
      </c>
      <c r="G137" s="357">
        <v>1</v>
      </c>
      <c r="H137" s="277"/>
      <c r="I137" s="359">
        <f t="shared" si="4" ref="I137:I145">+G137*D137</f>
        <v>0</v>
      </c>
      <c r="J137" s="272"/>
      <c r="K137" s="277"/>
      <c r="L137" s="345"/>
      <c r="M137" s="278"/>
    </row>
    <row r="138" spans="1:13" ht="15.75">
      <c r="A138" s="278" t="s">
        <v>329</v>
      </c>
      <c r="B138" s="273" t="s">
        <v>330</v>
      </c>
      <c r="C138" s="277" t="s">
        <v>21</v>
      </c>
      <c r="D138" s="302"/>
      <c r="E138" s="288"/>
      <c r="F138" s="277" t="s">
        <v>65</v>
      </c>
      <c r="G138" s="357">
        <f>I220</f>
        <v>0.94700942384920561</v>
      </c>
      <c r="H138" s="277"/>
      <c r="I138" s="359">
        <f>+G138*D138</f>
        <v>0</v>
      </c>
      <c r="J138" s="272"/>
      <c r="K138" s="277"/>
      <c r="L138" s="345"/>
      <c r="M138" s="287"/>
    </row>
    <row r="139" spans="1:13" ht="15.75">
      <c r="A139" s="278">
        <v>3</v>
      </c>
      <c r="B139" s="273" t="s">
        <v>71</v>
      </c>
      <c r="C139" s="277" t="s">
        <v>525</v>
      </c>
      <c r="D139" s="619">
        <v>47449091.450000003</v>
      </c>
      <c r="E139" s="288"/>
      <c r="F139" s="277" t="s">
        <v>44</v>
      </c>
      <c r="G139" s="357">
        <f>+G76</f>
        <v>1</v>
      </c>
      <c r="H139" s="277"/>
      <c r="I139" s="359">
        <f t="shared" si="4"/>
        <v>47449091.450000003</v>
      </c>
      <c r="J139" s="277"/>
      <c r="K139" s="277" t="s">
        <v>3</v>
      </c>
      <c r="L139" s="345"/>
      <c r="M139" s="278"/>
    </row>
    <row r="140" spans="1:13" ht="15.75">
      <c r="A140" s="278">
        <v>4</v>
      </c>
      <c r="B140" s="273" t="s">
        <v>72</v>
      </c>
      <c r="C140" s="277"/>
      <c r="D140" s="302"/>
      <c r="E140" s="288"/>
      <c r="F140" s="277" t="str">
        <f>+F139</f>
        <v>W/S</v>
      </c>
      <c r="G140" s="357">
        <f>+G139</f>
        <v>1</v>
      </c>
      <c r="H140" s="277"/>
      <c r="I140" s="359">
        <f t="shared" si="4"/>
        <v>0</v>
      </c>
      <c r="J140" s="277"/>
      <c r="K140" s="277"/>
      <c r="L140" s="345"/>
      <c r="M140" s="278"/>
    </row>
    <row r="141" spans="1:13" ht="15.75">
      <c r="A141" s="278">
        <v>5</v>
      </c>
      <c r="B141" s="324" t="s">
        <v>448</v>
      </c>
      <c r="C141" s="288"/>
      <c r="D141" s="302">
        <v>12860</v>
      </c>
      <c r="E141" s="288"/>
      <c r="F141" s="277" t="str">
        <f>+F140</f>
        <v>W/S</v>
      </c>
      <c r="G141" s="357">
        <f>+G140</f>
        <v>1</v>
      </c>
      <c r="H141" s="277"/>
      <c r="I141" s="359">
        <f t="shared" si="4"/>
        <v>12860</v>
      </c>
      <c r="J141" s="277"/>
      <c r="K141" s="277"/>
      <c r="L141" s="345"/>
      <c r="M141" s="278"/>
    </row>
    <row r="142" spans="1:13" ht="15.75">
      <c r="A142" s="278" t="s">
        <v>73</v>
      </c>
      <c r="B142" s="324" t="s">
        <v>449</v>
      </c>
      <c r="C142" s="288"/>
      <c r="D142" s="302">
        <v>12860</v>
      </c>
      <c r="E142" s="288"/>
      <c r="F142" s="381" t="str">
        <f>+F135</f>
        <v>TE</v>
      </c>
      <c r="G142" s="373">
        <f>+G135</f>
        <v>0.94700942384920561</v>
      </c>
      <c r="H142" s="277"/>
      <c r="I142" s="359">
        <f t="shared" si="4"/>
        <v>12178.541190700784</v>
      </c>
      <c r="J142" s="277"/>
      <c r="K142" s="277"/>
      <c r="L142" s="345"/>
      <c r="M142" s="278"/>
    </row>
    <row r="143" spans="1:13" ht="15.75">
      <c r="A143" s="278">
        <v>6</v>
      </c>
      <c r="B143" s="273" t="s">
        <v>45</v>
      </c>
      <c r="C143" s="287">
        <v>356.10000000000002</v>
      </c>
      <c r="D143" s="302"/>
      <c r="E143" s="288"/>
      <c r="F143" s="277" t="s">
        <v>46</v>
      </c>
      <c r="G143" s="357">
        <f>+G77</f>
        <v>1</v>
      </c>
      <c r="H143" s="277"/>
      <c r="I143" s="359">
        <f t="shared" si="4"/>
        <v>0</v>
      </c>
      <c r="J143" s="277"/>
      <c r="K143" s="277"/>
      <c r="L143" s="345"/>
      <c r="M143" s="278"/>
    </row>
    <row r="144" spans="1:13" s="1" customFormat="1" ht="15.75">
      <c r="A144" s="578" t="s">
        <v>483</v>
      </c>
      <c r="B144" s="600" t="s">
        <v>621</v>
      </c>
      <c r="C144" s="594" t="s">
        <v>690</v>
      </c>
      <c r="D144" s="185">
        <f>'Appendix B-Veg'!H24+'Appendix C-RRCA'!H24+'Appendix F-MTEP Debit'!H24</f>
        <v>5231790.5999999922</v>
      </c>
      <c r="E144" s="594"/>
      <c r="F144" s="594" t="s">
        <v>635</v>
      </c>
      <c r="G144" s="601">
        <v>1</v>
      </c>
      <c r="H144" s="548"/>
      <c r="I144" s="602">
        <f>D144*G144</f>
        <v>5231790.5999999922</v>
      </c>
      <c r="J144" s="548"/>
      <c r="K144" s="596"/>
      <c r="L144" s="597"/>
      <c r="M144" s="578"/>
    </row>
    <row r="145" spans="1:13" ht="16.5" thickBot="1">
      <c r="A145" s="278">
        <v>7</v>
      </c>
      <c r="B145" s="273" t="s">
        <v>74</v>
      </c>
      <c r="C145" s="288"/>
      <c r="D145" s="360"/>
      <c r="E145" s="288"/>
      <c r="F145" s="277" t="s">
        <v>3</v>
      </c>
      <c r="G145" s="357">
        <v>1</v>
      </c>
      <c r="H145" s="277"/>
      <c r="I145" s="361">
        <f t="shared" si="4"/>
        <v>0</v>
      </c>
      <c r="J145" s="277"/>
      <c r="K145" s="277"/>
      <c r="L145" s="345"/>
      <c r="M145" s="278"/>
    </row>
    <row r="146" spans="1:13" ht="15.75">
      <c r="A146" s="278">
        <v>8</v>
      </c>
      <c r="B146" s="569" t="s">
        <v>757</v>
      </c>
      <c r="C146" s="288"/>
      <c r="D146" s="294">
        <f>SUM(D135+D139+D142+D143+D145-D136-D137-D140-D141-D138+D144)</f>
        <v>185414936.11999997</v>
      </c>
      <c r="E146" s="288"/>
      <c r="F146" s="277"/>
      <c r="G146" s="277"/>
      <c r="H146" s="277"/>
      <c r="I146" s="294">
        <f>SUM(I135+I139+I142+I143+I145-I136-I137-I140-I141-I138+I144)</f>
        <v>178380600.66119069</v>
      </c>
      <c r="J146" s="277"/>
      <c r="K146" s="277"/>
      <c r="L146" s="271"/>
      <c r="M146" s="277"/>
    </row>
    <row r="147" spans="1:13" ht="15.75">
      <c r="A147" s="278"/>
      <c r="C147" s="288"/>
      <c r="D147" s="359"/>
      <c r="E147" s="277"/>
      <c r="F147" s="277"/>
      <c r="G147" s="277"/>
      <c r="H147" s="277"/>
      <c r="I147" s="359"/>
      <c r="J147" s="277"/>
      <c r="K147" s="277"/>
      <c r="L147" s="345"/>
      <c r="M147" s="277"/>
    </row>
    <row r="148" spans="1:13" ht="15.75">
      <c r="A148" s="278"/>
      <c r="B148" s="324" t="s">
        <v>331</v>
      </c>
      <c r="C148" s="288"/>
      <c r="D148" s="359"/>
      <c r="E148" s="288"/>
      <c r="F148" s="277"/>
      <c r="G148" s="277"/>
      <c r="H148" s="277"/>
      <c r="I148" s="359"/>
      <c r="J148" s="277"/>
      <c r="K148" s="277"/>
      <c r="L148" s="345"/>
      <c r="M148" s="277"/>
    </row>
    <row r="149" spans="1:13" ht="15.75">
      <c r="A149" s="278">
        <v>9</v>
      </c>
      <c r="B149" s="273" t="str">
        <f>+B135</f>
        <v xml:space="preserve">  Transmission </v>
      </c>
      <c r="C149" s="288" t="s">
        <v>496</v>
      </c>
      <c r="D149" s="619">
        <v>139363033</v>
      </c>
      <c r="E149" s="288"/>
      <c r="F149" s="277" t="s">
        <v>14</v>
      </c>
      <c r="G149" s="357">
        <f>+G96</f>
        <v>1</v>
      </c>
      <c r="H149" s="277"/>
      <c r="I149" s="359">
        <f>+G149*D149</f>
        <v>139363033</v>
      </c>
      <c r="J149" s="277"/>
      <c r="K149" s="362"/>
      <c r="L149" s="345"/>
      <c r="M149" s="278"/>
    </row>
    <row r="150" spans="1:20" s="326" customFormat="1" ht="15.75">
      <c r="A150" s="278">
        <v>10</v>
      </c>
      <c r="B150" s="287" t="s">
        <v>43</v>
      </c>
      <c r="C150" s="288" t="s">
        <v>497</v>
      </c>
      <c r="D150" s="619">
        <v>29156304</v>
      </c>
      <c r="E150" s="288"/>
      <c r="F150" s="277" t="s">
        <v>44</v>
      </c>
      <c r="G150" s="357">
        <f>+G139</f>
        <v>1</v>
      </c>
      <c r="H150" s="277"/>
      <c r="I150" s="359">
        <f>+G150*D150</f>
        <v>29156304</v>
      </c>
      <c r="J150" s="277"/>
      <c r="K150" s="362"/>
      <c r="L150" s="345"/>
      <c r="M150" s="278"/>
      <c r="N150" s="269"/>
      <c r="O150" s="269"/>
      <c r="P150" s="269"/>
      <c r="Q150" s="269"/>
      <c r="R150" s="269"/>
      <c r="S150" s="269"/>
      <c r="T150" s="269"/>
    </row>
    <row r="151" spans="1:13" ht="16.5" thickBot="1">
      <c r="A151" s="278">
        <v>11</v>
      </c>
      <c r="B151" s="273" t="str">
        <f>+B143</f>
        <v xml:space="preserve">  Common</v>
      </c>
      <c r="C151" s="288" t="s">
        <v>498</v>
      </c>
      <c r="D151" s="360"/>
      <c r="E151" s="288"/>
      <c r="F151" s="277" t="s">
        <v>46</v>
      </c>
      <c r="G151" s="357">
        <f>+G143</f>
        <v>1</v>
      </c>
      <c r="H151" s="277"/>
      <c r="I151" s="361">
        <f>+G151*D151</f>
        <v>0</v>
      </c>
      <c r="J151" s="277"/>
      <c r="K151" s="362"/>
      <c r="L151" s="345"/>
      <c r="M151" s="278"/>
    </row>
    <row r="152" spans="1:13" ht="15.75">
      <c r="A152" s="278">
        <v>12</v>
      </c>
      <c r="B152" s="569" t="s">
        <v>705</v>
      </c>
      <c r="C152" s="277"/>
      <c r="D152" s="575">
        <f>SUM(D149:D151)</f>
        <v>168519337</v>
      </c>
      <c r="E152" s="288"/>
      <c r="F152" s="277"/>
      <c r="G152" s="277"/>
      <c r="H152" s="277"/>
      <c r="I152" s="575">
        <f>SUM(I149:I151)</f>
        <v>168519337</v>
      </c>
      <c r="J152" s="277"/>
      <c r="K152" s="277"/>
      <c r="L152" s="370"/>
      <c r="M152" s="277"/>
    </row>
    <row r="153" spans="1:13" ht="15.75">
      <c r="A153" s="278"/>
      <c r="B153" s="273"/>
      <c r="C153" s="277"/>
      <c r="D153" s="359"/>
      <c r="E153" s="288"/>
      <c r="F153" s="277"/>
      <c r="G153" s="277"/>
      <c r="H153" s="277"/>
      <c r="I153" s="359"/>
      <c r="J153" s="277"/>
      <c r="K153" s="277"/>
      <c r="L153" s="371"/>
      <c r="M153" s="277"/>
    </row>
    <row r="154" spans="1:13" ht="15.75">
      <c r="A154" s="278" t="s">
        <v>3</v>
      </c>
      <c r="B154" s="273" t="s">
        <v>197</v>
      </c>
      <c r="D154" s="359"/>
      <c r="E154" s="288"/>
      <c r="F154" s="277"/>
      <c r="G154" s="277"/>
      <c r="H154" s="277"/>
      <c r="I154" s="359"/>
      <c r="J154" s="277"/>
      <c r="K154" s="277"/>
      <c r="L154" s="371"/>
      <c r="M154" s="277"/>
    </row>
    <row r="155" spans="1:13" ht="15.75">
      <c r="A155" s="278"/>
      <c r="B155" s="273" t="s">
        <v>75</v>
      </c>
      <c r="D155" s="359"/>
      <c r="E155" s="288"/>
      <c r="F155" s="277"/>
      <c r="H155" s="277"/>
      <c r="I155" s="359"/>
      <c r="J155" s="277"/>
      <c r="K155" s="362"/>
      <c r="L155" s="345"/>
      <c r="M155" s="278"/>
    </row>
    <row r="156" spans="1:13" ht="15.75">
      <c r="A156" s="278">
        <v>13</v>
      </c>
      <c r="B156" s="273" t="s">
        <v>76</v>
      </c>
      <c r="C156" s="277" t="s">
        <v>77</v>
      </c>
      <c r="D156" s="302">
        <f>'WP05 Other Tax'!D8</f>
        <v>780272.69999999984</v>
      </c>
      <c r="E156" s="288"/>
      <c r="F156" s="277" t="s">
        <v>44</v>
      </c>
      <c r="G156" s="295">
        <f>+G150</f>
        <v>1</v>
      </c>
      <c r="H156" s="277"/>
      <c r="I156" s="359">
        <f>+G156*D156</f>
        <v>780272.69999999984</v>
      </c>
      <c r="J156" s="288"/>
      <c r="K156" s="362"/>
      <c r="L156" s="345"/>
      <c r="M156" s="278"/>
    </row>
    <row r="157" spans="1:13" ht="15.75">
      <c r="A157" s="278">
        <v>14</v>
      </c>
      <c r="B157" s="273" t="s">
        <v>78</v>
      </c>
      <c r="C157" s="277" t="s">
        <v>77</v>
      </c>
      <c r="D157" s="302">
        <f>'WP05 Other Tax'!D12</f>
        <v>6000</v>
      </c>
      <c r="E157" s="288"/>
      <c r="F157" s="277" t="str">
        <f>+F156</f>
        <v>W/S</v>
      </c>
      <c r="G157" s="295">
        <f>+G156</f>
        <v>1</v>
      </c>
      <c r="H157" s="277"/>
      <c r="I157" s="359">
        <f>+G157*D157</f>
        <v>6000</v>
      </c>
      <c r="J157" s="288"/>
      <c r="K157" s="362"/>
      <c r="L157" s="345"/>
      <c r="M157" s="278"/>
    </row>
    <row r="158" spans="1:13" ht="15.75">
      <c r="A158" s="278">
        <v>15</v>
      </c>
      <c r="B158" s="273" t="s">
        <v>79</v>
      </c>
      <c r="C158" s="277" t="s">
        <v>3</v>
      </c>
      <c r="D158" s="359"/>
      <c r="E158" s="288"/>
      <c r="F158" s="277"/>
      <c r="H158" s="277"/>
      <c r="I158" s="359"/>
      <c r="J158" s="288"/>
      <c r="K158" s="362"/>
      <c r="L158" s="345"/>
      <c r="M158" s="278"/>
    </row>
    <row r="159" spans="1:13" ht="15.75">
      <c r="A159" s="278">
        <v>16</v>
      </c>
      <c r="B159" s="273" t="s">
        <v>80</v>
      </c>
      <c r="C159" s="277" t="s">
        <v>77</v>
      </c>
      <c r="D159" s="302">
        <f>'WP05 Other Tax'!D18</f>
        <v>244978551.47999999</v>
      </c>
      <c r="E159" s="288"/>
      <c r="F159" s="277" t="s">
        <v>67</v>
      </c>
      <c r="G159" s="295">
        <f>+G70</f>
        <v>1</v>
      </c>
      <c r="H159" s="277"/>
      <c r="I159" s="359">
        <f>+G159*D159</f>
        <v>244978551.47999999</v>
      </c>
      <c r="J159" s="288"/>
      <c r="K159" s="362"/>
      <c r="L159" s="345"/>
      <c r="M159" s="271"/>
    </row>
    <row r="160" spans="1:13" ht="15.75">
      <c r="A160" s="278">
        <v>17</v>
      </c>
      <c r="B160" s="273" t="s">
        <v>81</v>
      </c>
      <c r="C160" s="277" t="s">
        <v>77</v>
      </c>
      <c r="D160" s="302">
        <f>'WP05 Other Tax'!D22</f>
        <v>239392.60000000001</v>
      </c>
      <c r="E160" s="288"/>
      <c r="F160" s="288" t="str">
        <f>+F89</f>
        <v>NA</v>
      </c>
      <c r="G160" s="382"/>
      <c r="H160" s="277"/>
      <c r="I160" s="359">
        <v>0</v>
      </c>
      <c r="J160" s="288"/>
      <c r="K160" s="362"/>
      <c r="L160" s="345"/>
      <c r="M160" s="278"/>
    </row>
    <row r="161" spans="1:13" ht="15.75">
      <c r="A161" s="278">
        <v>18</v>
      </c>
      <c r="B161" s="273" t="s">
        <v>82</v>
      </c>
      <c r="C161" s="277" t="s">
        <v>77</v>
      </c>
      <c r="D161" s="302">
        <f>'WP05 Other Tax'!D28</f>
        <v>13430.969999999999</v>
      </c>
      <c r="E161" s="288"/>
      <c r="F161" s="277" t="str">
        <f>+F159</f>
        <v>GP</v>
      </c>
      <c r="G161" s="295">
        <f>+G159</f>
        <v>1</v>
      </c>
      <c r="H161" s="277"/>
      <c r="I161" s="359">
        <f>+G161*D161</f>
        <v>13430.969999999999</v>
      </c>
      <c r="J161" s="288"/>
      <c r="K161" s="362"/>
      <c r="L161" s="345"/>
      <c r="M161" s="278"/>
    </row>
    <row r="162" spans="1:13" ht="16.5" thickBot="1">
      <c r="A162" s="278">
        <v>19</v>
      </c>
      <c r="B162" s="273" t="s">
        <v>83</v>
      </c>
      <c r="C162" s="277"/>
      <c r="D162" s="360">
        <f>'WP05 Other Tax'!D30</f>
        <v>0</v>
      </c>
      <c r="E162" s="288"/>
      <c r="F162" s="277" t="s">
        <v>67</v>
      </c>
      <c r="G162" s="295">
        <f>+G159</f>
        <v>1</v>
      </c>
      <c r="H162" s="277"/>
      <c r="I162" s="361">
        <f>+G162*D162</f>
        <v>0</v>
      </c>
      <c r="J162" s="288"/>
      <c r="K162" s="362"/>
      <c r="L162" s="345"/>
      <c r="M162" s="278"/>
    </row>
    <row r="163" spans="1:13" ht="15.75">
      <c r="A163" s="278">
        <v>20</v>
      </c>
      <c r="B163" s="273" t="s">
        <v>84</v>
      </c>
      <c r="C163" s="277"/>
      <c r="D163" s="294">
        <f>SUM(D156:D162)</f>
        <v>246017647.74999997</v>
      </c>
      <c r="E163" s="288"/>
      <c r="F163" s="277"/>
      <c r="G163" s="295"/>
      <c r="H163" s="277"/>
      <c r="I163" s="359">
        <f>SUM(I156:I162)</f>
        <v>245778255.14999998</v>
      </c>
      <c r="J163" s="288"/>
      <c r="K163" s="277"/>
      <c r="L163" s="271"/>
      <c r="M163" s="277"/>
    </row>
    <row r="164" spans="1:13" ht="15.75">
      <c r="A164" s="278"/>
      <c r="B164" s="273"/>
      <c r="C164" s="277"/>
      <c r="D164" s="277"/>
      <c r="E164" s="288"/>
      <c r="F164" s="277"/>
      <c r="G164" s="295"/>
      <c r="H164" s="277"/>
      <c r="I164" s="328"/>
      <c r="J164" s="277"/>
      <c r="K164" s="277"/>
      <c r="L164" s="271"/>
      <c r="M164" s="277"/>
    </row>
    <row r="165" spans="1:13" ht="15.75">
      <c r="A165" s="278" t="s">
        <v>3</v>
      </c>
      <c r="B165" s="273" t="s">
        <v>85</v>
      </c>
      <c r="C165" s="277" t="s">
        <v>187</v>
      </c>
      <c r="D165" s="352"/>
      <c r="E165" s="288"/>
      <c r="G165" s="383"/>
      <c r="H165" s="277"/>
      <c r="I165" s="328"/>
      <c r="J165" s="277"/>
      <c r="L165" s="345"/>
      <c r="M165" s="278"/>
    </row>
    <row r="166" spans="1:13" ht="15.75">
      <c r="A166" s="278">
        <v>21</v>
      </c>
      <c r="B166" s="366" t="s">
        <v>86</v>
      </c>
      <c r="C166" s="277"/>
      <c r="D166" s="384">
        <f>IF(D298&gt;0,1-(((1-D299)*(1-D298))/(1-D299*D298*D300)),0)</f>
        <v>0.22229213175076001</v>
      </c>
      <c r="E166" s="805"/>
      <c r="G166" s="383"/>
      <c r="H166" s="277"/>
      <c r="I166" s="328"/>
      <c r="J166" s="277"/>
      <c r="L166" s="385"/>
      <c r="M166" s="278"/>
    </row>
    <row r="167" spans="1:13" ht="15.75">
      <c r="A167" s="278">
        <v>22</v>
      </c>
      <c r="B167" s="1" t="s">
        <v>746</v>
      </c>
      <c r="C167" s="277"/>
      <c r="D167" s="384">
        <f>IF(I251&gt;0,(D166/(1-D166))*(1-I248/I251),0)</f>
        <v>0.22802076845519362</v>
      </c>
      <c r="E167" s="288"/>
      <c r="G167" s="383"/>
      <c r="H167" s="277"/>
      <c r="I167" s="328"/>
      <c r="J167" s="277"/>
      <c r="K167" s="386"/>
      <c r="L167" s="385"/>
      <c r="M167" s="278"/>
    </row>
    <row r="168" spans="1:13" ht="15.75">
      <c r="A168" s="278"/>
      <c r="B168" s="273" t="s">
        <v>87</v>
      </c>
      <c r="C168" s="277"/>
      <c r="D168" s="277"/>
      <c r="E168" s="288"/>
      <c r="G168" s="383"/>
      <c r="H168" s="277"/>
      <c r="I168" s="328"/>
      <c r="J168" s="277"/>
      <c r="K168" s="386"/>
      <c r="L168" s="486"/>
      <c r="M168" s="278"/>
    </row>
    <row r="169" spans="1:13" ht="15.75">
      <c r="A169" s="278"/>
      <c r="B169" s="273" t="s">
        <v>88</v>
      </c>
      <c r="C169" s="277"/>
      <c r="D169" s="277"/>
      <c r="E169" s="288"/>
      <c r="G169" s="383"/>
      <c r="H169" s="277"/>
      <c r="I169" s="328"/>
      <c r="J169" s="277"/>
      <c r="K169" s="386"/>
      <c r="L169" s="385"/>
      <c r="M169" s="278"/>
    </row>
    <row r="170" spans="1:13" ht="15.75">
      <c r="A170" s="278">
        <v>23</v>
      </c>
      <c r="B170" s="366" t="s">
        <v>89</v>
      </c>
      <c r="C170" s="277"/>
      <c r="D170" s="387">
        <f>IF(D166&gt;0,1/(1-D166),0)</f>
        <v>1.2858298608334509</v>
      </c>
      <c r="E170" s="277"/>
      <c r="G170" s="383"/>
      <c r="H170" s="277"/>
      <c r="I170" s="359"/>
      <c r="J170" s="277"/>
      <c r="K170" s="386"/>
      <c r="L170" s="388"/>
      <c r="M170" s="278"/>
    </row>
    <row r="171" spans="1:13" ht="15.75">
      <c r="A171" s="278">
        <v>24</v>
      </c>
      <c r="B171" s="273" t="s">
        <v>450</v>
      </c>
      <c r="C171" s="277"/>
      <c r="D171" s="619">
        <v>-385837</v>
      </c>
      <c r="E171" s="288"/>
      <c r="G171" s="383"/>
      <c r="H171" s="277"/>
      <c r="I171" s="359"/>
      <c r="J171" s="277"/>
      <c r="K171" s="386"/>
      <c r="L171" s="345"/>
      <c r="M171" s="278"/>
    </row>
    <row r="172" spans="1:13" ht="15.75">
      <c r="A172" s="278">
        <v>25</v>
      </c>
      <c r="B172" s="366" t="s">
        <v>90</v>
      </c>
      <c r="C172" s="389"/>
      <c r="D172" s="359">
        <f>D167*D178</f>
        <v>67260969.135661274</v>
      </c>
      <c r="E172" s="277"/>
      <c r="F172" s="277" t="s">
        <v>40</v>
      </c>
      <c r="G172" s="295"/>
      <c r="H172" s="277"/>
      <c r="I172" s="359">
        <f>D167*I178</f>
        <v>67244732.798887268</v>
      </c>
      <c r="J172" s="277"/>
      <c r="K172" s="385"/>
      <c r="L172" s="390"/>
      <c r="M172" s="277"/>
    </row>
    <row r="173" spans="1:13" ht="15.75">
      <c r="A173" s="278">
        <v>26</v>
      </c>
      <c r="B173" s="269" t="s">
        <v>91</v>
      </c>
      <c r="C173" s="389"/>
      <c r="D173" s="372">
        <f>D170*D171</f>
        <v>-496120.73601439619</v>
      </c>
      <c r="E173" s="391"/>
      <c r="F173" s="391" t="s">
        <v>58</v>
      </c>
      <c r="G173" s="392">
        <f>G86</f>
        <v>1</v>
      </c>
      <c r="H173" s="391"/>
      <c r="I173" s="368">
        <f>G173*D173</f>
        <v>-496120.73601439619</v>
      </c>
      <c r="J173" s="277"/>
      <c r="K173" s="345"/>
      <c r="L173" s="371"/>
      <c r="M173" s="277"/>
    </row>
    <row r="174" spans="1:13" s="1" customFormat="1" ht="15.75">
      <c r="A174" s="578" t="s">
        <v>633</v>
      </c>
      <c r="B174" s="1" t="s">
        <v>639</v>
      </c>
      <c r="C174" s="603"/>
      <c r="D174" s="170">
        <f>'Appendix G-Inc Tax Adj'!G14</f>
        <v>1150220.3737205374</v>
      </c>
      <c r="E174" s="604"/>
      <c r="F174" s="605" t="s">
        <v>635</v>
      </c>
      <c r="G174" s="606">
        <v>1</v>
      </c>
      <c r="H174" s="604"/>
      <c r="I174" s="602">
        <f>D174*G174</f>
        <v>1150220.3737205374</v>
      </c>
      <c r="J174" s="548"/>
      <c r="K174" s="607"/>
      <c r="L174" s="597"/>
      <c r="M174" s="548"/>
    </row>
    <row r="175" spans="1:13" s="1" customFormat="1" ht="16.5" thickBot="1">
      <c r="A175" s="578" t="s">
        <v>634</v>
      </c>
      <c r="B175" s="1" t="s">
        <v>700</v>
      </c>
      <c r="C175" s="603"/>
      <c r="D175" s="608">
        <f>'Appendix G-Inc Tax Adj'!E18+'Appendix G-Inc Tax Adj'!E19</f>
        <v>-4003777.829110343</v>
      </c>
      <c r="E175" s="604"/>
      <c r="F175" s="605" t="s">
        <v>635</v>
      </c>
      <c r="G175" s="606">
        <v>1</v>
      </c>
      <c r="H175" s="604"/>
      <c r="I175" s="595">
        <f>D175*G175</f>
        <v>-4003777.829110343</v>
      </c>
      <c r="J175" s="548"/>
      <c r="K175" s="607"/>
      <c r="L175" s="597"/>
      <c r="M175" s="548"/>
    </row>
    <row r="176" spans="1:13" s="1" customFormat="1" ht="15.75">
      <c r="A176" s="578">
        <v>27</v>
      </c>
      <c r="B176" s="609" t="s">
        <v>92</v>
      </c>
      <c r="C176" s="1" t="s">
        <v>745</v>
      </c>
      <c r="D176" s="610">
        <f>SUM(D172:D175)</f>
        <v>63911290.944257081</v>
      </c>
      <c r="E176" s="548"/>
      <c r="F176" s="548" t="s">
        <v>3</v>
      </c>
      <c r="G176" s="611" t="s">
        <v>3</v>
      </c>
      <c r="H176" s="548"/>
      <c r="I176" s="610">
        <f>SUM(I172:I175)</f>
        <v>63895054.607483074</v>
      </c>
      <c r="J176" s="548"/>
      <c r="K176" s="548"/>
      <c r="L176" s="600"/>
      <c r="M176" s="548"/>
    </row>
    <row r="177" spans="1:13" ht="15.75">
      <c r="A177" s="278" t="s">
        <v>3</v>
      </c>
      <c r="C177" s="393"/>
      <c r="D177" s="359"/>
      <c r="E177" s="277"/>
      <c r="F177" s="277"/>
      <c r="G177" s="295"/>
      <c r="H177" s="277"/>
      <c r="I177" s="359"/>
      <c r="J177" s="277"/>
      <c r="K177" s="277"/>
      <c r="L177" s="345"/>
      <c r="M177" s="277"/>
    </row>
    <row r="178" spans="1:13" ht="15.75">
      <c r="A178" s="278">
        <v>28</v>
      </c>
      <c r="B178" s="273" t="s">
        <v>93</v>
      </c>
      <c r="C178" s="362"/>
      <c r="D178" s="359">
        <f>+$I251*D106</f>
        <v>294977381.189197</v>
      </c>
      <c r="E178" s="277"/>
      <c r="F178" s="277" t="s">
        <v>40</v>
      </c>
      <c r="G178" s="383"/>
      <c r="H178" s="277"/>
      <c r="I178" s="359">
        <f>+$I251*I106</f>
        <v>294906175.67189258</v>
      </c>
      <c r="J178" s="277"/>
      <c r="L178" s="345"/>
      <c r="M178" s="278"/>
    </row>
    <row r="179" spans="1:13" ht="15.75">
      <c r="A179" s="278"/>
      <c r="B179" s="366" t="s">
        <v>184</v>
      </c>
      <c r="D179" s="359"/>
      <c r="E179" s="277"/>
      <c r="F179" s="277"/>
      <c r="G179" s="383"/>
      <c r="H179" s="277"/>
      <c r="I179" s="359"/>
      <c r="J179" s="277"/>
      <c r="K179" s="362"/>
      <c r="L179" s="345"/>
      <c r="M179" s="278"/>
    </row>
    <row r="180" spans="1:13" ht="16.5" thickBot="1">
      <c r="A180" s="278"/>
      <c r="B180" s="273"/>
      <c r="D180" s="361"/>
      <c r="E180" s="277"/>
      <c r="F180" s="277"/>
      <c r="G180" s="383"/>
      <c r="H180" s="277"/>
      <c r="I180" s="361"/>
      <c r="J180" s="277"/>
      <c r="K180" s="362"/>
      <c r="L180" s="345"/>
      <c r="M180" s="278"/>
    </row>
    <row r="181" spans="1:13" ht="16.5" thickBot="1">
      <c r="A181" s="278">
        <v>29</v>
      </c>
      <c r="B181" s="273" t="s">
        <v>217</v>
      </c>
      <c r="C181" s="277"/>
      <c r="D181" s="394">
        <f>+D146+D152+D163+D176+D178</f>
        <v>958840593.00345421</v>
      </c>
      <c r="E181" s="288"/>
      <c r="F181" s="288"/>
      <c r="G181" s="288"/>
      <c r="H181" s="288"/>
      <c r="I181" s="394">
        <f>+I146+I152+I163+I176+I178</f>
        <v>951479423.09056616</v>
      </c>
      <c r="J181" s="272"/>
      <c r="K181" s="272"/>
      <c r="L181" s="271"/>
      <c r="M181" s="272"/>
    </row>
    <row r="182" spans="1:13" ht="16.5" thickTop="1">
      <c r="A182" s="278"/>
      <c r="B182" s="366" t="s">
        <v>220</v>
      </c>
      <c r="C182" s="277"/>
      <c r="D182" s="376"/>
      <c r="E182" s="277"/>
      <c r="F182" s="277"/>
      <c r="G182" s="277"/>
      <c r="H182" s="277"/>
      <c r="I182" s="376"/>
      <c r="J182" s="272"/>
      <c r="K182" s="272"/>
      <c r="L182" s="271"/>
      <c r="M182" s="272"/>
    </row>
    <row r="183" spans="1:13" ht="15.75">
      <c r="A183" s="278"/>
      <c r="C183" s="277"/>
      <c r="J183" s="272"/>
      <c r="K183" s="272"/>
      <c r="L183" s="271"/>
      <c r="M183" s="272"/>
    </row>
    <row r="184" spans="1:13" ht="15.75">
      <c r="A184" s="278"/>
      <c r="B184" s="366"/>
      <c r="C184" s="355"/>
      <c r="D184" s="355"/>
      <c r="E184" s="355"/>
      <c r="F184" s="355"/>
      <c r="G184" s="355"/>
      <c r="H184" s="355"/>
      <c r="I184" s="355"/>
      <c r="J184" s="284"/>
      <c r="K184" s="272"/>
      <c r="L184" s="271"/>
      <c r="M184" s="272"/>
    </row>
    <row r="185" spans="1:13" ht="15.75">
      <c r="A185" s="278"/>
      <c r="B185" s="366"/>
      <c r="C185" s="277"/>
      <c r="D185" s="376"/>
      <c r="E185" s="277"/>
      <c r="F185" s="277"/>
      <c r="G185" s="277"/>
      <c r="H185" s="277"/>
      <c r="I185" s="376"/>
      <c r="J185" s="272"/>
      <c r="K185" s="272"/>
      <c r="L185" s="271"/>
      <c r="M185" s="272"/>
    </row>
    <row r="186" spans="1:13" ht="15.75">
      <c r="A186" s="278"/>
      <c r="B186" s="366"/>
      <c r="C186" s="277"/>
      <c r="D186" s="376"/>
      <c r="E186" s="277"/>
      <c r="F186" s="277"/>
      <c r="G186" s="277"/>
      <c r="H186" s="277"/>
      <c r="I186" s="376"/>
      <c r="J186" s="272"/>
      <c r="K186" s="272"/>
      <c r="L186" s="271"/>
      <c r="M186" s="272"/>
    </row>
    <row r="187" spans="1:13" ht="15.75">
      <c r="A187" s="278"/>
      <c r="B187" s="366"/>
      <c r="C187" s="277"/>
      <c r="D187" s="376"/>
      <c r="E187" s="277"/>
      <c r="F187" s="277"/>
      <c r="G187" s="277"/>
      <c r="H187" s="277"/>
      <c r="I187" s="376"/>
      <c r="J187" s="272"/>
      <c r="K187" s="272"/>
      <c r="L187" s="271"/>
      <c r="M187" s="272"/>
    </row>
    <row r="188" spans="1:13" ht="15.75">
      <c r="A188" s="278"/>
      <c r="B188" s="366"/>
      <c r="C188" s="277"/>
      <c r="D188" s="376"/>
      <c r="E188" s="277"/>
      <c r="F188" s="277"/>
      <c r="G188" s="277"/>
      <c r="H188" s="277"/>
      <c r="I188" s="376"/>
      <c r="J188" s="272"/>
      <c r="K188" s="272"/>
      <c r="L188" s="271"/>
      <c r="M188" s="272"/>
    </row>
    <row r="189" spans="1:13" ht="15.75">
      <c r="A189" s="278"/>
      <c r="B189" s="366"/>
      <c r="C189" s="277"/>
      <c r="D189" s="376"/>
      <c r="E189" s="277"/>
      <c r="F189" s="277"/>
      <c r="G189" s="277"/>
      <c r="H189" s="277"/>
      <c r="I189" s="376"/>
      <c r="J189" s="272"/>
      <c r="K189" s="272"/>
      <c r="L189" s="271"/>
      <c r="M189" s="272"/>
    </row>
    <row r="190" spans="1:13" ht="15.75">
      <c r="A190" s="278"/>
      <c r="B190" s="366"/>
      <c r="C190" s="277"/>
      <c r="D190" s="376"/>
      <c r="E190" s="277"/>
      <c r="F190" s="277"/>
      <c r="G190" s="277"/>
      <c r="H190" s="277"/>
      <c r="I190" s="376"/>
      <c r="J190" s="272"/>
      <c r="K190" s="272"/>
      <c r="L190" s="271"/>
      <c r="M190" s="272"/>
    </row>
    <row r="191" spans="1:13" ht="15.75">
      <c r="A191" s="278"/>
      <c r="B191" s="366"/>
      <c r="C191" s="277"/>
      <c r="D191" s="376"/>
      <c r="E191" s="277"/>
      <c r="F191" s="277"/>
      <c r="G191" s="277"/>
      <c r="H191" s="277"/>
      <c r="I191" s="376"/>
      <c r="J191" s="272"/>
      <c r="K191" s="272"/>
      <c r="L191" s="271"/>
      <c r="M191" s="272"/>
    </row>
    <row r="192" spans="1:13" ht="15.75">
      <c r="A192" s="278"/>
      <c r="B192" s="366"/>
      <c r="C192" s="277"/>
      <c r="D192" s="376"/>
      <c r="E192" s="277"/>
      <c r="F192" s="277"/>
      <c r="G192" s="277"/>
      <c r="H192" s="277"/>
      <c r="I192" s="376"/>
      <c r="J192" s="272"/>
      <c r="K192" s="272"/>
      <c r="L192" s="271"/>
      <c r="M192" s="272"/>
    </row>
    <row r="193" spans="1:12" ht="15.75">
      <c r="A193" s="377"/>
      <c r="B193" s="273"/>
      <c r="C193" s="277"/>
      <c r="D193" s="376"/>
      <c r="E193" s="277"/>
      <c r="F193" s="277"/>
      <c r="G193" s="362"/>
      <c r="H193" s="277"/>
      <c r="I193" s="376"/>
      <c r="J193" s="288"/>
      <c r="K193" s="378"/>
      <c r="L193" s="325"/>
    </row>
    <row r="194" spans="1:12" ht="15.75">
      <c r="A194" s="377"/>
      <c r="B194" s="324"/>
      <c r="C194" s="277"/>
      <c r="D194" s="376"/>
      <c r="E194" s="277"/>
      <c r="F194" s="277"/>
      <c r="G194" s="362"/>
      <c r="H194" s="277"/>
      <c r="I194" s="376"/>
      <c r="J194" s="277"/>
      <c r="K194" s="378"/>
      <c r="L194" s="325"/>
    </row>
    <row r="195" spans="2:13" ht="15.75">
      <c r="B195" s="273"/>
      <c r="C195" s="273"/>
      <c r="D195" s="271"/>
      <c r="E195" s="273"/>
      <c r="F195" s="273"/>
      <c r="G195" s="273"/>
      <c r="H195" s="272"/>
      <c r="I195" s="278"/>
      <c r="J195" s="278"/>
      <c r="K195" s="270"/>
      <c r="L195" s="271"/>
      <c r="M195" s="272"/>
    </row>
    <row r="196" spans="2:13" ht="15.75">
      <c r="B196" s="273"/>
      <c r="C196" s="273"/>
      <c r="D196" s="271"/>
      <c r="E196" s="273"/>
      <c r="F196" s="273"/>
      <c r="G196" s="273"/>
      <c r="H196" s="272"/>
      <c r="I196" s="270"/>
      <c r="J196" s="270"/>
      <c r="K196" s="270"/>
      <c r="L196" s="271"/>
      <c r="M196" s="272"/>
    </row>
    <row r="197" spans="2:13" ht="16.5" customHeight="1">
      <c r="B197" s="273"/>
      <c r="C197" s="273"/>
      <c r="D197" s="271"/>
      <c r="E197" s="273"/>
      <c r="F197" s="273"/>
      <c r="G197" s="273"/>
      <c r="H197" s="272"/>
      <c r="I197" s="272"/>
      <c r="K197" s="270" t="s">
        <v>306</v>
      </c>
      <c r="L197" s="271"/>
      <c r="M197" s="272"/>
    </row>
    <row r="198" spans="2:13" ht="16.5" customHeight="1">
      <c r="B198" s="273"/>
      <c r="C198" s="273"/>
      <c r="D198" s="271"/>
      <c r="E198" s="273"/>
      <c r="F198" s="273"/>
      <c r="G198" s="273"/>
      <c r="H198" s="272"/>
      <c r="I198" s="272"/>
      <c r="J198" s="272"/>
      <c r="K198" s="270" t="s">
        <v>183</v>
      </c>
      <c r="L198" s="271"/>
      <c r="M198" s="272"/>
    </row>
    <row r="199" spans="2:13" ht="16.5" customHeight="1">
      <c r="B199" s="273"/>
      <c r="C199" s="273"/>
      <c r="D199" s="271"/>
      <c r="E199" s="273"/>
      <c r="F199" s="273"/>
      <c r="G199" s="273"/>
      <c r="H199" s="272"/>
      <c r="I199" s="272"/>
      <c r="J199" s="272"/>
      <c r="K199" s="270"/>
      <c r="L199" s="271"/>
      <c r="M199" s="272"/>
    </row>
    <row r="200" spans="2:13" ht="15.75">
      <c r="B200" s="273" t="s">
        <v>1</v>
      </c>
      <c r="C200" s="273"/>
      <c r="D200" s="271" t="s">
        <v>2</v>
      </c>
      <c r="E200" s="273"/>
      <c r="F200" s="273"/>
      <c r="G200" s="273"/>
      <c r="H200" s="274"/>
      <c r="I200" s="274"/>
      <c r="J200" s="274"/>
      <c r="K200" s="276" t="str">
        <f>K4</f>
        <v>For the 12 months ended 12/31/2023</v>
      </c>
      <c r="L200" s="271"/>
      <c r="M200" s="272"/>
    </row>
    <row r="201" spans="2:13" ht="15.75">
      <c r="B201" s="273"/>
      <c r="C201" s="277" t="s">
        <v>3</v>
      </c>
      <c r="D201" s="277" t="s">
        <v>4</v>
      </c>
      <c r="E201" s="277"/>
      <c r="F201" s="277"/>
      <c r="G201" s="277"/>
      <c r="H201" s="272"/>
      <c r="I201" s="272"/>
      <c r="J201" s="272"/>
      <c r="K201" s="272"/>
      <c r="L201" s="271"/>
      <c r="M201" s="272"/>
    </row>
    <row r="202" spans="1:13" ht="9.75" customHeight="1">
      <c r="A202" s="278"/>
      <c r="J202" s="277"/>
      <c r="K202" s="277"/>
      <c r="L202" s="345"/>
      <c r="M202" s="277"/>
    </row>
    <row r="203" spans="1:13" ht="15.75">
      <c r="A203" s="278"/>
      <c r="D203" s="269" t="str">
        <f>D7</f>
        <v>American Transmission Systems, Inc.</v>
      </c>
      <c r="J203" s="277"/>
      <c r="K203" s="277"/>
      <c r="L203" s="345"/>
      <c r="M203" s="277"/>
    </row>
    <row r="204" spans="1:13" ht="15.75">
      <c r="A204" s="278"/>
      <c r="C204" s="354" t="s">
        <v>94</v>
      </c>
      <c r="E204" s="272"/>
      <c r="F204" s="272"/>
      <c r="G204" s="272"/>
      <c r="H204" s="272"/>
      <c r="I204" s="272"/>
      <c r="J204" s="277"/>
      <c r="K204" s="277"/>
      <c r="L204" s="271"/>
      <c r="M204" s="277"/>
    </row>
    <row r="205" spans="1:13" ht="15.75">
      <c r="A205" s="278" t="s">
        <v>5</v>
      </c>
      <c r="B205" s="278" t="s">
        <v>27</v>
      </c>
      <c r="C205" s="278" t="s">
        <v>28</v>
      </c>
      <c r="D205" s="278" t="s">
        <v>29</v>
      </c>
      <c r="E205" s="347" t="s">
        <v>30</v>
      </c>
      <c r="F205" s="277"/>
      <c r="G205" s="347" t="s">
        <v>31</v>
      </c>
      <c r="H205" s="277"/>
      <c r="I205" s="347" t="s">
        <v>32</v>
      </c>
      <c r="J205" s="277"/>
      <c r="L205" s="271"/>
      <c r="M205" s="277"/>
    </row>
    <row r="206" spans="1:13" ht="16.5" thickBot="1">
      <c r="A206" s="281" t="s">
        <v>7</v>
      </c>
      <c r="B206" s="324" t="s">
        <v>95</v>
      </c>
      <c r="C206" s="312"/>
      <c r="D206" s="312"/>
      <c r="E206" s="312"/>
      <c r="F206" s="312"/>
      <c r="G206" s="312"/>
      <c r="H206" s="326"/>
      <c r="I206" s="326"/>
      <c r="J206" s="288"/>
      <c r="K206" s="277"/>
      <c r="L206" s="271"/>
      <c r="M206" s="277"/>
    </row>
    <row r="207" spans="1:13" ht="15.75">
      <c r="A207" s="278">
        <v>1</v>
      </c>
      <c r="B207" s="312" t="s">
        <v>203</v>
      </c>
      <c r="C207" s="312"/>
      <c r="D207" s="288"/>
      <c r="E207" s="288"/>
      <c r="F207" s="288"/>
      <c r="G207" s="288"/>
      <c r="H207" s="288"/>
      <c r="I207" s="294">
        <f>D66</f>
        <v>5794396215.1715345</v>
      </c>
      <c r="J207" s="288"/>
      <c r="K207" s="277"/>
      <c r="L207" s="271"/>
      <c r="M207" s="277"/>
    </row>
    <row r="208" spans="1:13" ht="15.75">
      <c r="A208" s="278">
        <v>2</v>
      </c>
      <c r="B208" s="312" t="s">
        <v>451</v>
      </c>
      <c r="C208" s="326"/>
      <c r="D208" s="326"/>
      <c r="E208" s="326"/>
      <c r="F208" s="326"/>
      <c r="G208" s="326"/>
      <c r="H208" s="326"/>
      <c r="I208" s="302">
        <v>0</v>
      </c>
      <c r="J208" s="288"/>
      <c r="K208" s="277"/>
      <c r="L208" s="271"/>
      <c r="M208" s="277"/>
    </row>
    <row r="209" spans="1:13" ht="16.5" thickBot="1">
      <c r="A209" s="278">
        <v>3</v>
      </c>
      <c r="B209" s="395" t="s">
        <v>452</v>
      </c>
      <c r="C209" s="395"/>
      <c r="D209" s="355"/>
      <c r="E209" s="355"/>
      <c r="F209" s="288"/>
      <c r="G209" s="396"/>
      <c r="H209" s="288"/>
      <c r="I209" s="360">
        <v>0</v>
      </c>
      <c r="J209" s="288"/>
      <c r="K209" s="277"/>
      <c r="L209" s="271"/>
      <c r="M209" s="277"/>
    </row>
    <row r="210" spans="1:13" ht="15.75">
      <c r="A210" s="278">
        <v>4</v>
      </c>
      <c r="B210" s="312" t="s">
        <v>96</v>
      </c>
      <c r="C210" s="312"/>
      <c r="D210" s="355"/>
      <c r="E210" s="355"/>
      <c r="F210" s="288"/>
      <c r="G210" s="396"/>
      <c r="H210" s="288"/>
      <c r="I210" s="294">
        <f>I207-I208-I209</f>
        <v>5794396215.1715345</v>
      </c>
      <c r="J210" s="288"/>
      <c r="K210" s="277"/>
      <c r="L210" s="271"/>
      <c r="M210" s="277"/>
    </row>
    <row r="211" spans="1:13" ht="15.75">
      <c r="A211" s="278">
        <v>5</v>
      </c>
      <c r="B211" s="312" t="s">
        <v>207</v>
      </c>
      <c r="C211" s="279"/>
      <c r="D211" s="397"/>
      <c r="E211" s="397"/>
      <c r="F211" s="398"/>
      <c r="G211" s="399"/>
      <c r="H211" s="288" t="s">
        <v>97</v>
      </c>
      <c r="I211" s="400">
        <f>IF(I207&gt;0,I210/I207,0)</f>
        <v>1</v>
      </c>
      <c r="J211" s="288"/>
      <c r="K211" s="277"/>
      <c r="L211" s="271"/>
      <c r="M211" s="277"/>
    </row>
    <row r="212" spans="1:13" ht="9.75" customHeight="1">
      <c r="A212" s="278"/>
      <c r="B212" s="312"/>
      <c r="C212" s="279"/>
      <c r="D212" s="397"/>
      <c r="E212" s="397"/>
      <c r="F212" s="398"/>
      <c r="G212" s="399"/>
      <c r="H212" s="288"/>
      <c r="I212" s="400"/>
      <c r="J212" s="288"/>
      <c r="K212" s="277"/>
      <c r="L212" s="271"/>
      <c r="M212" s="277"/>
    </row>
    <row r="213" spans="1:13" ht="15.75">
      <c r="A213" s="278"/>
      <c r="B213" s="324" t="s">
        <v>98</v>
      </c>
      <c r="C213" s="326"/>
      <c r="D213" s="356"/>
      <c r="E213" s="356"/>
      <c r="F213" s="326"/>
      <c r="G213" s="326"/>
      <c r="H213" s="326"/>
      <c r="I213" s="326"/>
      <c r="J213" s="288"/>
      <c r="K213" s="277"/>
      <c r="L213" s="271"/>
      <c r="M213" s="277"/>
    </row>
    <row r="214" spans="1:13" ht="9.75" customHeight="1">
      <c r="A214" s="278"/>
      <c r="B214" s="326"/>
      <c r="C214" s="326"/>
      <c r="D214" s="356"/>
      <c r="E214" s="356"/>
      <c r="F214" s="326"/>
      <c r="G214" s="326"/>
      <c r="H214" s="326"/>
      <c r="I214" s="326"/>
      <c r="J214" s="288"/>
      <c r="K214" s="277"/>
      <c r="L214" s="271"/>
      <c r="M214" s="277"/>
    </row>
    <row r="215" spans="1:13" ht="15.75">
      <c r="A215" s="278">
        <v>6</v>
      </c>
      <c r="B215" s="326" t="s">
        <v>204</v>
      </c>
      <c r="C215" s="326"/>
      <c r="D215" s="284"/>
      <c r="E215" s="284"/>
      <c r="F215" s="312"/>
      <c r="G215" s="305"/>
      <c r="H215" s="312"/>
      <c r="I215" s="294">
        <f>D135</f>
        <v>132734054.06999999</v>
      </c>
      <c r="J215" s="288"/>
      <c r="K215" s="277"/>
      <c r="L215" s="345"/>
      <c r="M215" s="277"/>
    </row>
    <row r="216" spans="1:13" ht="16.5" thickBot="1">
      <c r="A216" s="278">
        <v>7</v>
      </c>
      <c r="B216" s="395" t="s">
        <v>453</v>
      </c>
      <c r="C216" s="395"/>
      <c r="D216" s="355"/>
      <c r="E216" s="355"/>
      <c r="F216" s="288"/>
      <c r="G216" s="288"/>
      <c r="H216" s="288"/>
      <c r="I216" s="772">
        <v>7033654</v>
      </c>
      <c r="J216" s="288"/>
      <c r="K216" s="277"/>
      <c r="L216" s="345"/>
      <c r="M216" s="277"/>
    </row>
    <row r="217" spans="1:13" ht="15.75">
      <c r="A217" s="278">
        <v>8</v>
      </c>
      <c r="B217" s="312" t="s">
        <v>199</v>
      </c>
      <c r="C217" s="279"/>
      <c r="D217" s="397"/>
      <c r="E217" s="397"/>
      <c r="F217" s="398"/>
      <c r="G217" s="399"/>
      <c r="H217" s="398"/>
      <c r="I217" s="294">
        <f>SUM(I215-I216)</f>
        <v>125700400.06999999</v>
      </c>
      <c r="J217" s="326"/>
      <c r="L217" s="345"/>
      <c r="M217" s="277"/>
    </row>
    <row r="218" spans="1:13" ht="15.75">
      <c r="A218" s="278">
        <v>9</v>
      </c>
      <c r="B218" s="312" t="s">
        <v>200</v>
      </c>
      <c r="C218" s="312"/>
      <c r="D218" s="288"/>
      <c r="E218" s="288"/>
      <c r="F218" s="288"/>
      <c r="G218" s="288"/>
      <c r="H218" s="288"/>
      <c r="I218" s="373">
        <f>IF(I215&gt;0,I217/I215,0)</f>
        <v>0.94700942384920561</v>
      </c>
      <c r="J218" s="326"/>
      <c r="L218" s="345"/>
      <c r="M218" s="277"/>
    </row>
    <row r="219" spans="1:13" ht="15.75">
      <c r="A219" s="278">
        <v>10</v>
      </c>
      <c r="B219" s="312" t="s">
        <v>201</v>
      </c>
      <c r="C219" s="312"/>
      <c r="D219" s="288"/>
      <c r="E219" s="288"/>
      <c r="F219" s="288"/>
      <c r="G219" s="288"/>
      <c r="H219" s="312" t="s">
        <v>14</v>
      </c>
      <c r="I219" s="401">
        <f>I211</f>
        <v>1</v>
      </c>
      <c r="J219" s="326"/>
      <c r="L219" s="345"/>
      <c r="M219" s="277"/>
    </row>
    <row r="220" spans="1:13" ht="15.75">
      <c r="A220" s="278">
        <v>11</v>
      </c>
      <c r="B220" s="312" t="s">
        <v>202</v>
      </c>
      <c r="C220" s="312"/>
      <c r="D220" s="312"/>
      <c r="E220" s="312"/>
      <c r="F220" s="312"/>
      <c r="G220" s="312"/>
      <c r="H220" s="312" t="s">
        <v>99</v>
      </c>
      <c r="I220" s="402">
        <f>+I219*I218</f>
        <v>0.94700942384920561</v>
      </c>
      <c r="J220" s="326"/>
      <c r="L220" s="345"/>
      <c r="M220" s="277"/>
    </row>
    <row r="221" spans="1:13" ht="9.75" customHeight="1">
      <c r="A221" s="278"/>
      <c r="C221" s="272"/>
      <c r="D221" s="277"/>
      <c r="E221" s="277"/>
      <c r="F221" s="288"/>
      <c r="G221" s="403"/>
      <c r="H221" s="277"/>
      <c r="L221" s="345"/>
      <c r="M221" s="277"/>
    </row>
    <row r="222" spans="1:13" ht="15.75">
      <c r="A222" s="278" t="s">
        <v>3</v>
      </c>
      <c r="B222" s="273" t="s">
        <v>100</v>
      </c>
      <c r="C222" s="277"/>
      <c r="D222" s="277"/>
      <c r="E222" s="277"/>
      <c r="F222" s="288"/>
      <c r="G222" s="277"/>
      <c r="H222" s="277"/>
      <c r="I222" s="277"/>
      <c r="J222" s="277"/>
      <c r="K222" s="277"/>
      <c r="L222" s="345"/>
      <c r="M222" s="277"/>
    </row>
    <row r="223" spans="1:13" ht="16.5" thickBot="1">
      <c r="A223" s="278" t="s">
        <v>3</v>
      </c>
      <c r="B223" s="273"/>
      <c r="C223" s="404" t="s">
        <v>101</v>
      </c>
      <c r="D223" s="322" t="s">
        <v>102</v>
      </c>
      <c r="E223" s="322" t="s">
        <v>14</v>
      </c>
      <c r="F223" s="288"/>
      <c r="G223" s="322" t="s">
        <v>103</v>
      </c>
      <c r="H223" s="277"/>
      <c r="I223" s="277"/>
      <c r="J223" s="277"/>
      <c r="K223" s="277"/>
      <c r="L223" s="345"/>
      <c r="M223" s="277"/>
    </row>
    <row r="224" spans="1:13" ht="15.75">
      <c r="A224" s="278">
        <v>12</v>
      </c>
      <c r="B224" s="273" t="s">
        <v>39</v>
      </c>
      <c r="C224" s="277" t="s">
        <v>175</v>
      </c>
      <c r="D224" s="302">
        <v>0</v>
      </c>
      <c r="E224" s="405">
        <v>0</v>
      </c>
      <c r="F224" s="806"/>
      <c r="G224" s="359">
        <f>D224*E224</f>
        <v>0</v>
      </c>
      <c r="H224" s="277"/>
      <c r="I224" s="277"/>
      <c r="J224" s="277"/>
      <c r="K224" s="277"/>
      <c r="L224" s="345"/>
      <c r="M224" s="277"/>
    </row>
    <row r="225" spans="1:13" ht="15.75">
      <c r="A225" s="278">
        <v>13</v>
      </c>
      <c r="B225" s="273" t="s">
        <v>41</v>
      </c>
      <c r="C225" s="277" t="s">
        <v>176</v>
      </c>
      <c r="D225" s="302">
        <v>1</v>
      </c>
      <c r="E225" s="405">
        <f>+I211</f>
        <v>1</v>
      </c>
      <c r="F225" s="806"/>
      <c r="G225" s="359">
        <f>D225*E225</f>
        <v>1</v>
      </c>
      <c r="H225" s="277"/>
      <c r="I225" s="277"/>
      <c r="J225" s="277"/>
      <c r="K225" s="277"/>
      <c r="L225" s="345"/>
      <c r="M225" s="277"/>
    </row>
    <row r="226" spans="1:13" ht="15.75">
      <c r="A226" s="278">
        <v>14</v>
      </c>
      <c r="B226" s="273" t="s">
        <v>42</v>
      </c>
      <c r="C226" s="277" t="s">
        <v>177</v>
      </c>
      <c r="D226" s="302">
        <v>0</v>
      </c>
      <c r="E226" s="405">
        <v>0</v>
      </c>
      <c r="F226" s="806"/>
      <c r="G226" s="359">
        <f>D226*E226</f>
        <v>0</v>
      </c>
      <c r="H226" s="277"/>
      <c r="I226" s="406" t="s">
        <v>104</v>
      </c>
      <c r="J226" s="277"/>
      <c r="K226" s="277"/>
      <c r="L226" s="345"/>
      <c r="M226" s="277"/>
    </row>
    <row r="227" spans="1:13" ht="16.5" thickBot="1">
      <c r="A227" s="278">
        <v>15</v>
      </c>
      <c r="B227" s="273" t="s">
        <v>105</v>
      </c>
      <c r="C227" s="277" t="s">
        <v>178</v>
      </c>
      <c r="D227" s="360">
        <v>0</v>
      </c>
      <c r="E227" s="405">
        <v>0</v>
      </c>
      <c r="F227" s="806"/>
      <c r="G227" s="361">
        <f>D227*E227</f>
        <v>0</v>
      </c>
      <c r="H227" s="277"/>
      <c r="I227" s="281" t="s">
        <v>106</v>
      </c>
      <c r="J227" s="277"/>
      <c r="K227" s="277"/>
      <c r="L227" s="345"/>
      <c r="M227" s="277"/>
    </row>
    <row r="228" spans="1:13" ht="15.75">
      <c r="A228" s="278">
        <v>16</v>
      </c>
      <c r="B228" s="273" t="s">
        <v>107</v>
      </c>
      <c r="C228" s="277"/>
      <c r="D228" s="294">
        <f>SUM(D224:D227)</f>
        <v>1</v>
      </c>
      <c r="E228" s="277"/>
      <c r="F228" s="288"/>
      <c r="G228" s="359">
        <f>SUM(G224:G227)</f>
        <v>1</v>
      </c>
      <c r="H228" s="278" t="s">
        <v>108</v>
      </c>
      <c r="I228" s="357">
        <f>IF(G228&gt;0,G228/D228,1)</f>
        <v>1</v>
      </c>
      <c r="J228" s="407" t="s">
        <v>206</v>
      </c>
      <c r="K228" s="277"/>
      <c r="L228" s="345"/>
      <c r="M228" s="277"/>
    </row>
    <row r="229" spans="1:13" ht="9.75" customHeight="1">
      <c r="A229" s="278"/>
      <c r="B229" s="273"/>
      <c r="C229" s="277"/>
      <c r="D229" s="277"/>
      <c r="E229" s="277"/>
      <c r="F229" s="277"/>
      <c r="G229" s="277"/>
      <c r="H229" s="277"/>
      <c r="I229" s="277"/>
      <c r="J229" s="277"/>
      <c r="K229" s="277"/>
      <c r="L229" s="345"/>
      <c r="M229" s="277"/>
    </row>
    <row r="230" spans="1:13" ht="15.75">
      <c r="A230" s="278"/>
      <c r="B230" s="273" t="s">
        <v>198</v>
      </c>
      <c r="C230" s="277"/>
      <c r="D230" s="277"/>
      <c r="E230" s="288"/>
      <c r="F230" s="277"/>
      <c r="G230" s="277"/>
      <c r="H230" s="277"/>
      <c r="I230" s="277"/>
      <c r="J230" s="277"/>
      <c r="K230" s="277"/>
      <c r="L230" s="345"/>
      <c r="M230" s="277"/>
    </row>
    <row r="231" spans="1:13" ht="15.75">
      <c r="A231" s="278"/>
      <c r="B231" s="273"/>
      <c r="C231" s="277"/>
      <c r="D231" s="408" t="s">
        <v>102</v>
      </c>
      <c r="E231" s="288"/>
      <c r="F231" s="277"/>
      <c r="G231" s="396" t="s">
        <v>109</v>
      </c>
      <c r="H231" s="409" t="s">
        <v>3</v>
      </c>
      <c r="I231" s="410" t="str">
        <f>+I226</f>
        <v>W&amp;S Allocator</v>
      </c>
      <c r="J231" s="326"/>
      <c r="K231" s="326"/>
      <c r="L231" s="345"/>
      <c r="M231" s="277"/>
    </row>
    <row r="232" spans="1:13" ht="15.75">
      <c r="A232" s="278">
        <v>17</v>
      </c>
      <c r="B232" s="273" t="s">
        <v>110</v>
      </c>
      <c r="C232" s="277" t="s">
        <v>111</v>
      </c>
      <c r="D232" s="619">
        <v>1</v>
      </c>
      <c r="E232" s="288"/>
      <c r="G232" s="305" t="s">
        <v>112</v>
      </c>
      <c r="H232" s="409"/>
      <c r="I232" s="305" t="s">
        <v>113</v>
      </c>
      <c r="J232" s="288"/>
      <c r="K232" s="305" t="s">
        <v>46</v>
      </c>
      <c r="L232" s="345"/>
      <c r="M232" s="277"/>
    </row>
    <row r="233" spans="1:18" ht="15.75">
      <c r="A233" s="278">
        <v>18</v>
      </c>
      <c r="B233" s="273" t="s">
        <v>114</v>
      </c>
      <c r="C233" s="277" t="s">
        <v>115</v>
      </c>
      <c r="D233" s="411">
        <v>0</v>
      </c>
      <c r="E233" s="288"/>
      <c r="G233" s="303">
        <f>IF(D235&gt;0,D232/D235,1)</f>
        <v>1</v>
      </c>
      <c r="H233" s="396" t="s">
        <v>116</v>
      </c>
      <c r="I233" s="303">
        <f>I228</f>
        <v>1</v>
      </c>
      <c r="J233" s="409" t="s">
        <v>108</v>
      </c>
      <c r="K233" s="303">
        <f>G233*I233</f>
        <v>1</v>
      </c>
      <c r="L233" s="345"/>
      <c r="M233" s="412"/>
      <c r="N233" s="412"/>
      <c r="O233" s="413"/>
      <c r="P233" s="414"/>
      <c r="Q233" s="414"/>
      <c r="R233" s="414"/>
    </row>
    <row r="234" spans="1:18" ht="16.5" thickBot="1">
      <c r="A234" s="278">
        <v>19</v>
      </c>
      <c r="B234" s="415" t="s">
        <v>117</v>
      </c>
      <c r="C234" s="404" t="s">
        <v>118</v>
      </c>
      <c r="D234" s="416">
        <v>0</v>
      </c>
      <c r="E234" s="288"/>
      <c r="F234" s="277"/>
      <c r="G234" s="277" t="s">
        <v>3</v>
      </c>
      <c r="H234" s="277"/>
      <c r="I234" s="277"/>
      <c r="J234" s="277"/>
      <c r="K234" s="277"/>
      <c r="L234" s="345"/>
      <c r="M234" s="417"/>
      <c r="N234" s="417"/>
      <c r="O234" s="414"/>
      <c r="P234" s="414"/>
      <c r="Q234" s="414"/>
      <c r="R234" s="414"/>
    </row>
    <row r="235" spans="1:18" ht="15.75">
      <c r="A235" s="278">
        <v>20</v>
      </c>
      <c r="B235" s="273" t="s">
        <v>119</v>
      </c>
      <c r="C235" s="277"/>
      <c r="D235" s="343">
        <f>SUM(D232:D234)</f>
        <v>1</v>
      </c>
      <c r="E235" s="277"/>
      <c r="F235" s="277"/>
      <c r="G235" s="277"/>
      <c r="H235" s="277"/>
      <c r="I235" s="277"/>
      <c r="J235" s="277"/>
      <c r="K235" s="277"/>
      <c r="L235" s="345"/>
      <c r="M235" s="418"/>
      <c r="N235" s="419"/>
      <c r="O235" s="420"/>
      <c r="P235" s="421"/>
      <c r="Q235" s="419"/>
      <c r="R235" s="419"/>
    </row>
    <row r="236" spans="1:18" ht="15.75">
      <c r="A236" s="278"/>
      <c r="B236" s="273"/>
      <c r="C236" s="277"/>
      <c r="E236" s="277"/>
      <c r="F236" s="277"/>
      <c r="G236" s="277"/>
      <c r="H236" s="277"/>
      <c r="I236" s="277"/>
      <c r="J236" s="288"/>
      <c r="K236" s="277"/>
      <c r="L236" s="345"/>
      <c r="M236" s="821"/>
      <c r="N236" s="821"/>
      <c r="O236" s="821"/>
      <c r="P236" s="821"/>
      <c r="Q236" s="821"/>
      <c r="R236" s="821"/>
    </row>
    <row r="237" spans="1:18" ht="16.5" thickBot="1">
      <c r="A237" s="278"/>
      <c r="B237" s="273" t="s">
        <v>120</v>
      </c>
      <c r="C237" s="277"/>
      <c r="D237" s="277"/>
      <c r="E237" s="277"/>
      <c r="F237" s="277"/>
      <c r="G237" s="277"/>
      <c r="H237" s="277"/>
      <c r="I237" s="322" t="s">
        <v>102</v>
      </c>
      <c r="J237" s="288"/>
      <c r="K237" s="277"/>
      <c r="L237" s="345"/>
      <c r="M237" s="419"/>
      <c r="N237" s="419"/>
      <c r="O237" s="420"/>
      <c r="P237" s="421"/>
      <c r="Q237" s="419"/>
      <c r="R237" s="419"/>
    </row>
    <row r="238" spans="1:18" ht="15.75">
      <c r="A238" s="278">
        <v>21</v>
      </c>
      <c r="B238" s="272"/>
      <c r="C238" s="277" t="s">
        <v>526</v>
      </c>
      <c r="D238" s="277"/>
      <c r="E238" s="277"/>
      <c r="F238" s="277"/>
      <c r="G238" s="277"/>
      <c r="H238" s="277"/>
      <c r="I238" s="619">
        <v>61419488</v>
      </c>
      <c r="J238" s="288"/>
      <c r="K238" s="277"/>
      <c r="L238" s="345"/>
      <c r="M238" s="420"/>
      <c r="N238" s="420"/>
      <c r="O238" s="420"/>
      <c r="P238" s="421"/>
      <c r="Q238" s="419"/>
      <c r="R238" s="419"/>
    </row>
    <row r="239" spans="1:18" ht="15.75">
      <c r="A239" s="278">
        <v>22</v>
      </c>
      <c r="B239" s="273"/>
      <c r="C239" s="277" t="s">
        <v>208</v>
      </c>
      <c r="D239" s="277"/>
      <c r="E239" s="277"/>
      <c r="F239" s="277"/>
      <c r="G239" s="277"/>
      <c r="H239" s="288"/>
      <c r="I239" s="302">
        <v>0</v>
      </c>
      <c r="J239" s="288"/>
      <c r="K239" s="277"/>
      <c r="L239" s="345"/>
      <c r="M239" s="420"/>
      <c r="N239" s="419"/>
      <c r="O239" s="422"/>
      <c r="P239" s="422"/>
      <c r="Q239" s="419"/>
      <c r="R239" s="419"/>
    </row>
    <row r="240" spans="1:18" ht="15.75">
      <c r="A240" s="278"/>
      <c r="B240" s="273"/>
      <c r="C240" s="277"/>
      <c r="D240" s="277"/>
      <c r="E240" s="277"/>
      <c r="F240" s="277"/>
      <c r="G240" s="277"/>
      <c r="H240" s="277"/>
      <c r="I240" s="359"/>
      <c r="J240" s="288"/>
      <c r="K240" s="277"/>
      <c r="L240" s="345"/>
      <c r="M240" s="420"/>
      <c r="N240" s="419"/>
      <c r="O240" s="419"/>
      <c r="P240" s="419"/>
      <c r="Q240" s="419"/>
      <c r="R240" s="419"/>
    </row>
    <row r="241" spans="1:18" ht="15.75">
      <c r="A241" s="278"/>
      <c r="B241" s="273" t="s">
        <v>121</v>
      </c>
      <c r="C241" s="277"/>
      <c r="D241" s="277"/>
      <c r="E241" s="277"/>
      <c r="F241" s="277"/>
      <c r="G241" s="277"/>
      <c r="H241" s="277"/>
      <c r="I241" s="359"/>
      <c r="J241" s="288"/>
      <c r="K241" s="277"/>
      <c r="L241" s="345"/>
      <c r="M241" s="420"/>
      <c r="N241" s="423"/>
      <c r="O241" s="424"/>
      <c r="P241" s="424"/>
      <c r="Q241" s="419"/>
      <c r="R241" s="419"/>
    </row>
    <row r="242" spans="1:18" ht="15.75">
      <c r="A242" s="278">
        <v>23</v>
      </c>
      <c r="B242" s="273"/>
      <c r="C242" s="277" t="s">
        <v>499</v>
      </c>
      <c r="D242" s="272"/>
      <c r="E242" s="277"/>
      <c r="F242" s="277"/>
      <c r="G242" s="277"/>
      <c r="H242" s="277"/>
      <c r="I242" s="302">
        <f>'WP06 Cap Structure'!E20</f>
        <v>2333926055.3076925</v>
      </c>
      <c r="J242" s="288"/>
      <c r="K242" s="277"/>
      <c r="L242" s="345"/>
      <c r="M242" s="420"/>
      <c r="N242" s="424"/>
      <c r="O242" s="419"/>
      <c r="P242" s="424"/>
      <c r="Q242" s="419"/>
      <c r="R242" s="419"/>
    </row>
    <row r="243" spans="1:18" ht="15.75">
      <c r="A243" s="278">
        <v>24</v>
      </c>
      <c r="B243" s="273"/>
      <c r="C243" s="277" t="s">
        <v>209</v>
      </c>
      <c r="D243" s="277"/>
      <c r="E243" s="277"/>
      <c r="F243" s="277"/>
      <c r="G243" s="277"/>
      <c r="H243" s="277"/>
      <c r="I243" s="294">
        <v>0</v>
      </c>
      <c r="J243" s="288"/>
      <c r="K243" s="277"/>
      <c r="L243" s="345"/>
      <c r="M243" s="420"/>
      <c r="N243" s="424"/>
      <c r="O243" s="419"/>
      <c r="P243" s="424"/>
      <c r="Q243" s="419"/>
      <c r="R243" s="419"/>
    </row>
    <row r="244" spans="1:18" ht="16.5" thickBot="1">
      <c r="A244" s="278">
        <v>25</v>
      </c>
      <c r="B244" s="273"/>
      <c r="C244" s="277" t="s">
        <v>500</v>
      </c>
      <c r="D244" s="277"/>
      <c r="E244" s="277"/>
      <c r="F244" s="277"/>
      <c r="G244" s="277"/>
      <c r="H244" s="277"/>
      <c r="I244" s="360">
        <f>'WP06 Cap Structure'!G20</f>
        <v>0</v>
      </c>
      <c r="J244" s="288"/>
      <c r="K244" s="277"/>
      <c r="L244" s="345"/>
      <c r="M244" s="420"/>
      <c r="N244" s="424"/>
      <c r="O244" s="419"/>
      <c r="P244" s="425"/>
      <c r="Q244" s="419"/>
      <c r="R244" s="419"/>
    </row>
    <row r="245" spans="1:18" ht="15.75">
      <c r="A245" s="278">
        <v>26</v>
      </c>
      <c r="B245" s="272"/>
      <c r="C245" s="277" t="s">
        <v>122</v>
      </c>
      <c r="D245" s="272" t="s">
        <v>123</v>
      </c>
      <c r="E245" s="272"/>
      <c r="F245" s="272"/>
      <c r="G245" s="272"/>
      <c r="H245" s="272"/>
      <c r="I245" s="294">
        <f>SUM(I242:I244)</f>
        <v>2333926055.3076925</v>
      </c>
      <c r="J245" s="288"/>
      <c r="K245" s="277"/>
      <c r="L245" s="345"/>
      <c r="M245" s="420"/>
      <c r="N245" s="419"/>
      <c r="O245" s="420"/>
      <c r="P245" s="421"/>
      <c r="Q245" s="419"/>
      <c r="R245" s="419"/>
    </row>
    <row r="246" spans="1:18" ht="15.75">
      <c r="A246" s="278"/>
      <c r="B246" s="273"/>
      <c r="C246" s="277"/>
      <c r="D246" s="277"/>
      <c r="E246" s="277"/>
      <c r="F246" s="288"/>
      <c r="G246" s="403" t="s">
        <v>124</v>
      </c>
      <c r="H246" s="277"/>
      <c r="I246" s="277"/>
      <c r="J246" s="277"/>
      <c r="K246" s="277"/>
      <c r="L246" s="345"/>
      <c r="M246" s="420"/>
      <c r="N246" s="419"/>
      <c r="O246" s="420"/>
      <c r="P246" s="421"/>
      <c r="Q246" s="419"/>
      <c r="R246" s="419"/>
    </row>
    <row r="247" spans="1:18" ht="16.5" thickBot="1">
      <c r="A247" s="278"/>
      <c r="B247" s="273"/>
      <c r="C247" s="277"/>
      <c r="D247" s="281" t="s">
        <v>102</v>
      </c>
      <c r="E247" s="281" t="s">
        <v>125</v>
      </c>
      <c r="F247" s="288"/>
      <c r="G247" s="281" t="s">
        <v>126</v>
      </c>
      <c r="H247" s="277"/>
      <c r="I247" s="281" t="s">
        <v>127</v>
      </c>
      <c r="J247" s="277"/>
      <c r="K247" s="277"/>
      <c r="L247" s="345"/>
      <c r="M247" s="376"/>
      <c r="N247" s="421"/>
      <c r="O247" s="418"/>
      <c r="P247" s="418"/>
      <c r="Q247" s="418"/>
      <c r="R247" s="418"/>
    </row>
    <row r="248" spans="1:18" ht="15.75">
      <c r="A248" s="278">
        <v>27</v>
      </c>
      <c r="B248" s="273" t="s">
        <v>501</v>
      </c>
      <c r="D248" s="302">
        <f>'WP06 Cap Structure'!I20</f>
        <v>1569230769.2307692</v>
      </c>
      <c r="E248" s="426">
        <f>IF($D$251&gt;0,D248/$D$251,0)</f>
        <v>0.40204143460628866</v>
      </c>
      <c r="F248" s="807"/>
      <c r="G248" s="427">
        <f>IF(D248&gt;0,I238/D248,0)</f>
        <v>0.039139869803921569</v>
      </c>
      <c r="I248" s="427">
        <f>G248*E248</f>
        <v>0.015735849406271984</v>
      </c>
      <c r="J248" s="407" t="s">
        <v>128</v>
      </c>
      <c r="L248" s="345"/>
      <c r="M248" s="376"/>
      <c r="N248" s="418"/>
      <c r="O248" s="418"/>
      <c r="P248" s="418"/>
      <c r="Q248" s="418"/>
      <c r="R248" s="418"/>
    </row>
    <row r="249" spans="1:18" ht="15.75">
      <c r="A249" s="278">
        <v>28</v>
      </c>
      <c r="B249" s="273" t="s">
        <v>502</v>
      </c>
      <c r="D249" s="302">
        <f>'WP06 Cap Structure'!F20</f>
        <v>0</v>
      </c>
      <c r="E249" s="426">
        <f>IF($D$251&gt;0,D249/$D$251,0)</f>
        <v>0</v>
      </c>
      <c r="F249" s="807"/>
      <c r="G249" s="427">
        <f>IF(D249&gt;0,I239/D249,0)</f>
        <v>0</v>
      </c>
      <c r="I249" s="427">
        <f>G249*E249</f>
        <v>0</v>
      </c>
      <c r="J249" s="277"/>
      <c r="L249" s="345"/>
      <c r="M249" s="376"/>
      <c r="N249" s="418"/>
      <c r="O249" s="418"/>
      <c r="P249" s="418"/>
      <c r="Q249" s="418"/>
      <c r="R249" s="418"/>
    </row>
    <row r="250" spans="1:13" ht="16.5" thickBot="1">
      <c r="A250" s="278">
        <v>29</v>
      </c>
      <c r="B250" s="273" t="s">
        <v>129</v>
      </c>
      <c r="D250" s="361">
        <f>I245</f>
        <v>2333926055.3076925</v>
      </c>
      <c r="E250" s="426">
        <f>IF($D$251&gt;0,D250/$D$251,0)</f>
        <v>0.59795856539371139</v>
      </c>
      <c r="F250" s="807"/>
      <c r="G250" s="428">
        <v>0.1038</v>
      </c>
      <c r="H250" s="803"/>
      <c r="I250" s="429">
        <f>G250*E250</f>
        <v>0.062068099087867243</v>
      </c>
      <c r="J250" s="277"/>
      <c r="L250" s="345"/>
      <c r="M250" s="277"/>
    </row>
    <row r="251" spans="1:13" ht="15.75">
      <c r="A251" s="278">
        <v>30</v>
      </c>
      <c r="B251" s="273" t="s">
        <v>130</v>
      </c>
      <c r="D251" s="294">
        <f>SUM(D248:D250)</f>
        <v>3903156824.5384617</v>
      </c>
      <c r="E251" s="277" t="s">
        <v>3</v>
      </c>
      <c r="F251" s="288"/>
      <c r="G251" s="430"/>
      <c r="H251" s="277"/>
      <c r="I251" s="427">
        <f>SUM(I248:I250)</f>
        <v>0.077803948494139227</v>
      </c>
      <c r="J251" s="407" t="s">
        <v>131</v>
      </c>
      <c r="L251" s="345"/>
      <c r="M251" s="277"/>
    </row>
    <row r="252" spans="1:13" ht="9.75" customHeight="1">
      <c r="A252" s="278"/>
      <c r="K252" s="277"/>
      <c r="L252" s="345"/>
      <c r="M252" s="277"/>
    </row>
    <row r="253" spans="1:13" ht="15.75">
      <c r="A253" s="278"/>
      <c r="B253" s="273" t="s">
        <v>132</v>
      </c>
      <c r="C253" s="272"/>
      <c r="D253" s="272"/>
      <c r="E253" s="272"/>
      <c r="F253" s="272"/>
      <c r="G253" s="272"/>
      <c r="H253" s="272"/>
      <c r="I253" s="272"/>
      <c r="J253" s="272"/>
      <c r="K253" s="272"/>
      <c r="L253" s="486"/>
      <c r="M253" s="277"/>
    </row>
    <row r="254" spans="1:13" ht="15.75">
      <c r="A254" s="278"/>
      <c r="B254" s="273" t="s">
        <v>133</v>
      </c>
      <c r="C254" s="272"/>
      <c r="D254" s="272" t="s">
        <v>134</v>
      </c>
      <c r="E254" s="272" t="s">
        <v>135</v>
      </c>
      <c r="F254" s="272"/>
      <c r="G254" s="272" t="s">
        <v>3</v>
      </c>
      <c r="I254" s="431"/>
      <c r="J254" s="431"/>
      <c r="L254" s="325"/>
      <c r="M254" s="277"/>
    </row>
    <row r="255" spans="1:13" ht="15.75">
      <c r="A255" s="278">
        <v>31</v>
      </c>
      <c r="B255" s="269" t="s">
        <v>454</v>
      </c>
      <c r="C255" s="272"/>
      <c r="D255" s="272"/>
      <c r="F255" s="272"/>
      <c r="I255" s="432">
        <v>0</v>
      </c>
      <c r="J255" s="433"/>
      <c r="L255" s="325"/>
      <c r="M255" s="277"/>
    </row>
    <row r="256" spans="1:13" ht="16.5" thickBot="1">
      <c r="A256" s="278">
        <v>32</v>
      </c>
      <c r="B256" s="434" t="s">
        <v>455</v>
      </c>
      <c r="C256" s="435"/>
      <c r="D256" s="418"/>
      <c r="E256" s="436"/>
      <c r="F256" s="436"/>
      <c r="G256" s="436"/>
      <c r="H256" s="272"/>
      <c r="I256" s="437">
        <v>0</v>
      </c>
      <c r="J256" s="438"/>
      <c r="L256" s="325"/>
      <c r="M256" s="277"/>
    </row>
    <row r="257" spans="1:13" ht="15.75">
      <c r="A257" s="278">
        <v>33</v>
      </c>
      <c r="B257" s="269" t="s">
        <v>566</v>
      </c>
      <c r="C257" s="272"/>
      <c r="E257" s="272"/>
      <c r="F257" s="272"/>
      <c r="G257" s="272"/>
      <c r="H257" s="272"/>
      <c r="I257" s="439">
        <f>+I255-I256</f>
        <v>0</v>
      </c>
      <c r="J257" s="433"/>
      <c r="L257" s="325"/>
      <c r="M257" s="277"/>
    </row>
    <row r="258" spans="1:13" ht="15.75">
      <c r="A258" s="278"/>
      <c r="B258" s="269" t="s">
        <v>3</v>
      </c>
      <c r="C258" s="272"/>
      <c r="E258" s="272"/>
      <c r="F258" s="272"/>
      <c r="G258" s="440"/>
      <c r="H258" s="272"/>
      <c r="I258" s="439"/>
      <c r="J258" s="431"/>
      <c r="K258" s="441"/>
      <c r="L258" s="345"/>
      <c r="M258" s="277"/>
    </row>
    <row r="259" spans="1:13" ht="15.75">
      <c r="A259" s="278">
        <v>34</v>
      </c>
      <c r="B259" s="269" t="s">
        <v>527</v>
      </c>
      <c r="C259" s="272"/>
      <c r="D259" s="269" t="s">
        <v>528</v>
      </c>
      <c r="E259" s="272"/>
      <c r="F259" s="272"/>
      <c r="G259" s="440"/>
      <c r="H259" s="272"/>
      <c r="I259" s="773">
        <v>0</v>
      </c>
      <c r="J259" s="431"/>
      <c r="K259" s="441"/>
      <c r="L259" s="345"/>
      <c r="M259" s="277"/>
    </row>
    <row r="260" spans="1:13" ht="15.75">
      <c r="A260" s="278"/>
      <c r="C260" s="272"/>
      <c r="E260" s="272"/>
      <c r="F260" s="272"/>
      <c r="G260" s="440"/>
      <c r="H260" s="272"/>
      <c r="I260" s="439"/>
      <c r="J260" s="431"/>
      <c r="K260" s="441"/>
      <c r="L260" s="345"/>
      <c r="M260" s="277"/>
    </row>
    <row r="261" spans="1:13" ht="15.75">
      <c r="A261" s="278">
        <v>35</v>
      </c>
      <c r="B261" s="273" t="s">
        <v>456</v>
      </c>
      <c r="C261" s="272"/>
      <c r="D261" s="269" t="s">
        <v>529</v>
      </c>
      <c r="E261" s="272"/>
      <c r="F261" s="272"/>
      <c r="G261" s="331"/>
      <c r="H261" s="272"/>
      <c r="I261" s="773">
        <v>19794948</v>
      </c>
      <c r="J261" s="431"/>
      <c r="K261" s="442"/>
      <c r="L261" s="345"/>
      <c r="M261" s="277"/>
    </row>
    <row r="262" spans="1:13" ht="15.75" customHeight="1">
      <c r="A262" s="278"/>
      <c r="C262" s="272"/>
      <c r="D262" s="272"/>
      <c r="E262" s="272"/>
      <c r="F262" s="272"/>
      <c r="G262" s="272"/>
      <c r="H262" s="272"/>
      <c r="I262" s="439"/>
      <c r="J262" s="431"/>
      <c r="K262" s="442"/>
      <c r="L262" s="345"/>
      <c r="M262" s="277"/>
    </row>
    <row r="263" spans="1:13" ht="15.75">
      <c r="A263" s="305">
        <v>36</v>
      </c>
      <c r="B263" s="324" t="s">
        <v>457</v>
      </c>
      <c r="C263" s="312"/>
      <c r="D263" s="272" t="s">
        <v>136</v>
      </c>
      <c r="E263" s="272"/>
      <c r="F263" s="272"/>
      <c r="G263" s="272"/>
      <c r="H263" s="272"/>
      <c r="I263" s="774">
        <v>9689278</v>
      </c>
      <c r="J263" s="803"/>
      <c r="K263" s="443"/>
      <c r="L263" s="345"/>
      <c r="M263" s="272"/>
    </row>
    <row r="264" spans="2:13" ht="15.75">
      <c r="B264" s="436"/>
      <c r="C264" s="436"/>
      <c r="D264" s="277"/>
      <c r="E264" s="277"/>
      <c r="F264" s="277"/>
      <c r="G264" s="277"/>
      <c r="H264" s="277"/>
      <c r="J264" s="453"/>
      <c r="K264" s="443"/>
      <c r="L264" s="445"/>
      <c r="M264" s="272"/>
    </row>
    <row r="265" spans="1:13" ht="15.75">
      <c r="A265" s="278"/>
      <c r="B265" s="446"/>
      <c r="C265" s="436"/>
      <c r="D265" s="436"/>
      <c r="E265" s="436"/>
      <c r="F265" s="436"/>
      <c r="G265" s="272"/>
      <c r="H265" s="272"/>
      <c r="I265" s="447"/>
      <c r="J265" s="803"/>
      <c r="K265" s="448"/>
      <c r="L265" s="445"/>
      <c r="M265" s="272"/>
    </row>
    <row r="266" spans="1:13" ht="15.75">
      <c r="A266" s="278"/>
      <c r="B266" s="449"/>
      <c r="C266" s="336"/>
      <c r="D266" s="277"/>
      <c r="E266" s="277"/>
      <c r="F266" s="277"/>
      <c r="G266" s="277"/>
      <c r="H266" s="272"/>
      <c r="I266" s="450"/>
      <c r="J266" s="444"/>
      <c r="K266" s="450"/>
      <c r="L266" s="271"/>
      <c r="M266" s="272"/>
    </row>
    <row r="267" spans="1:13" ht="15.75">
      <c r="A267" s="278"/>
      <c r="B267" s="449"/>
      <c r="C267" s="336"/>
      <c r="D267" s="277"/>
      <c r="E267" s="277"/>
      <c r="F267" s="277"/>
      <c r="G267" s="277"/>
      <c r="H267" s="272"/>
      <c r="I267" s="450"/>
      <c r="J267" s="444"/>
      <c r="K267" s="450"/>
      <c r="L267" s="271"/>
      <c r="M267" s="272"/>
    </row>
    <row r="268" spans="1:13" ht="15.75">
      <c r="A268" s="278"/>
      <c r="B268" s="451"/>
      <c r="C268" s="278"/>
      <c r="D268" s="277"/>
      <c r="E268" s="277"/>
      <c r="F268" s="277"/>
      <c r="G268" s="277"/>
      <c r="H268" s="272"/>
      <c r="I268" s="450"/>
      <c r="J268" s="444"/>
      <c r="K268" s="450"/>
      <c r="L268" s="271"/>
      <c r="M268" s="272"/>
    </row>
    <row r="269" spans="1:13" ht="15.75">
      <c r="A269" s="278"/>
      <c r="B269" s="451"/>
      <c r="C269" s="278"/>
      <c r="D269" s="277"/>
      <c r="E269" s="277"/>
      <c r="F269" s="277"/>
      <c r="G269" s="277"/>
      <c r="H269" s="272"/>
      <c r="I269" s="450"/>
      <c r="J269" s="444"/>
      <c r="K269" s="450"/>
      <c r="L269" s="271"/>
      <c r="M269" s="272"/>
    </row>
    <row r="270" spans="1:13" s="326" customFormat="1" ht="15.75">
      <c r="A270" s="305"/>
      <c r="B270" s="452"/>
      <c r="C270" s="305"/>
      <c r="D270" s="288"/>
      <c r="E270" s="288"/>
      <c r="F270" s="288"/>
      <c r="G270" s="288"/>
      <c r="H270" s="312"/>
      <c r="I270" s="450"/>
      <c r="J270" s="453"/>
      <c r="K270" s="450"/>
      <c r="L270" s="287"/>
      <c r="M270" s="312"/>
    </row>
    <row r="271" spans="1:12" ht="15.75">
      <c r="A271" s="377"/>
      <c r="B271" s="273"/>
      <c r="C271" s="277"/>
      <c r="D271" s="376"/>
      <c r="E271" s="277"/>
      <c r="F271" s="277"/>
      <c r="G271" s="362"/>
      <c r="H271" s="277"/>
      <c r="I271" s="376"/>
      <c r="J271" s="288"/>
      <c r="K271" s="378"/>
      <c r="L271" s="325"/>
    </row>
    <row r="272" spans="1:12" ht="15.75">
      <c r="A272" s="377"/>
      <c r="B272" s="324"/>
      <c r="C272" s="277"/>
      <c r="D272" s="376"/>
      <c r="E272" s="277"/>
      <c r="F272" s="277"/>
      <c r="G272" s="362"/>
      <c r="H272" s="277"/>
      <c r="I272" s="376"/>
      <c r="J272" s="277"/>
      <c r="K272" s="378"/>
      <c r="L272" s="325"/>
    </row>
    <row r="273" spans="2:13" ht="15.75">
      <c r="B273" s="273"/>
      <c r="C273" s="273"/>
      <c r="D273" s="271"/>
      <c r="E273" s="273"/>
      <c r="F273" s="273"/>
      <c r="G273" s="273"/>
      <c r="H273" s="272"/>
      <c r="I273" s="278"/>
      <c r="J273" s="278"/>
      <c r="K273" s="270"/>
      <c r="L273" s="271"/>
      <c r="M273" s="272"/>
    </row>
    <row r="274" spans="2:13" ht="15.75">
      <c r="B274" s="273"/>
      <c r="C274" s="273"/>
      <c r="D274" s="271"/>
      <c r="E274" s="273"/>
      <c r="F274" s="273"/>
      <c r="G274" s="273"/>
      <c r="H274" s="272"/>
      <c r="I274" s="270"/>
      <c r="J274" s="270"/>
      <c r="K274" s="270"/>
      <c r="L274" s="271"/>
      <c r="M274" s="272"/>
    </row>
    <row r="275" spans="2:13" ht="16.5" customHeight="1">
      <c r="B275" s="273"/>
      <c r="C275" s="273"/>
      <c r="D275" s="271"/>
      <c r="E275" s="273"/>
      <c r="F275" s="273"/>
      <c r="G275" s="273"/>
      <c r="H275" s="272"/>
      <c r="I275" s="272"/>
      <c r="K275" s="270" t="s">
        <v>306</v>
      </c>
      <c r="L275" s="271"/>
      <c r="M275" s="272"/>
    </row>
    <row r="276" spans="2:13" ht="16.5" customHeight="1">
      <c r="B276" s="273"/>
      <c r="C276" s="273"/>
      <c r="D276" s="271"/>
      <c r="E276" s="273"/>
      <c r="F276" s="273"/>
      <c r="G276" s="273"/>
      <c r="H276" s="272"/>
      <c r="I276" s="272"/>
      <c r="J276" s="272"/>
      <c r="K276" s="270" t="s">
        <v>137</v>
      </c>
      <c r="L276" s="271"/>
      <c r="M276" s="272"/>
    </row>
    <row r="277" spans="2:13" ht="16.5" customHeight="1">
      <c r="B277" s="273"/>
      <c r="C277" s="273"/>
      <c r="D277" s="271"/>
      <c r="E277" s="273"/>
      <c r="F277" s="273"/>
      <c r="G277" s="273"/>
      <c r="H277" s="272"/>
      <c r="I277" s="272"/>
      <c r="J277" s="272"/>
      <c r="K277" s="270"/>
      <c r="L277" s="271"/>
      <c r="M277" s="272"/>
    </row>
    <row r="278" spans="2:13" ht="15.75">
      <c r="B278" s="273" t="s">
        <v>1</v>
      </c>
      <c r="C278" s="273"/>
      <c r="D278" s="271" t="s">
        <v>2</v>
      </c>
      <c r="E278" s="273"/>
      <c r="F278" s="273"/>
      <c r="G278" s="273"/>
      <c r="H278" s="274"/>
      <c r="I278" s="275"/>
      <c r="J278" s="274"/>
      <c r="K278" s="276" t="str">
        <f>K4</f>
        <v>For the 12 months ended 12/31/2023</v>
      </c>
      <c r="L278" s="271"/>
      <c r="M278" s="272"/>
    </row>
    <row r="279" spans="2:13" ht="15.75">
      <c r="B279" s="273"/>
      <c r="C279" s="277" t="s">
        <v>3</v>
      </c>
      <c r="D279" s="277" t="s">
        <v>4</v>
      </c>
      <c r="E279" s="277"/>
      <c r="F279" s="277"/>
      <c r="G279" s="277"/>
      <c r="H279" s="272"/>
      <c r="I279" s="272"/>
      <c r="J279" s="272"/>
      <c r="K279" s="272"/>
      <c r="L279" s="271"/>
      <c r="M279" s="272"/>
    </row>
    <row r="280" spans="1:13" ht="15.75">
      <c r="A280" s="278"/>
      <c r="B280" s="451"/>
      <c r="C280" s="278"/>
      <c r="D280" s="277"/>
      <c r="E280" s="277"/>
      <c r="F280" s="277"/>
      <c r="G280" s="277"/>
      <c r="H280" s="272"/>
      <c r="I280" s="454"/>
      <c r="J280" s="431"/>
      <c r="K280" s="453"/>
      <c r="L280" s="271"/>
      <c r="M280" s="272"/>
    </row>
    <row r="281" spans="1:13" ht="15.75">
      <c r="A281" s="278"/>
      <c r="B281" s="451"/>
      <c r="C281" s="278"/>
      <c r="D281" s="277" t="str">
        <f>D7</f>
        <v>American Transmission Systems, Inc.</v>
      </c>
      <c r="E281" s="277"/>
      <c r="F281" s="277"/>
      <c r="G281" s="277"/>
      <c r="H281" s="272"/>
      <c r="I281" s="454"/>
      <c r="J281" s="431"/>
      <c r="K281" s="453"/>
      <c r="L281" s="271"/>
      <c r="M281" s="272"/>
    </row>
    <row r="282" spans="1:13" ht="15.75">
      <c r="A282" s="278"/>
      <c r="B282" s="451"/>
      <c r="C282" s="278"/>
      <c r="D282" s="277"/>
      <c r="E282" s="277"/>
      <c r="F282" s="277"/>
      <c r="G282" s="277"/>
      <c r="H282" s="272"/>
      <c r="I282" s="454"/>
      <c r="J282" s="431"/>
      <c r="K282" s="453"/>
      <c r="L282" s="271"/>
      <c r="M282" s="272"/>
    </row>
    <row r="283" spans="1:13" ht="15.75">
      <c r="A283" s="278"/>
      <c r="B283" s="273" t="s">
        <v>138</v>
      </c>
      <c r="C283" s="278"/>
      <c r="D283" s="277"/>
      <c r="E283" s="277"/>
      <c r="F283" s="277"/>
      <c r="G283" s="277"/>
      <c r="H283" s="272"/>
      <c r="I283" s="277"/>
      <c r="J283" s="272"/>
      <c r="K283" s="277"/>
      <c r="L283" s="271"/>
      <c r="M283" s="272"/>
    </row>
    <row r="284" spans="1:13" ht="15.75">
      <c r="A284" s="278"/>
      <c r="B284" s="455" t="s">
        <v>188</v>
      </c>
      <c r="C284" s="278"/>
      <c r="D284" s="277"/>
      <c r="E284" s="277"/>
      <c r="F284" s="277"/>
      <c r="G284" s="277"/>
      <c r="H284" s="272"/>
      <c r="I284" s="277"/>
      <c r="J284" s="272"/>
      <c r="K284" s="277"/>
      <c r="L284" s="271"/>
      <c r="M284" s="272"/>
    </row>
    <row r="285" spans="1:13" ht="15.75">
      <c r="A285" s="278" t="s">
        <v>139</v>
      </c>
      <c r="B285" s="273"/>
      <c r="C285" s="272"/>
      <c r="D285" s="277"/>
      <c r="E285" s="277"/>
      <c r="F285" s="277"/>
      <c r="G285" s="277"/>
      <c r="H285" s="272"/>
      <c r="I285" s="277"/>
      <c r="J285" s="272"/>
      <c r="K285" s="277"/>
      <c r="L285" s="271"/>
      <c r="M285" s="272"/>
    </row>
    <row r="286" spans="1:13" ht="16.5" thickBot="1">
      <c r="A286" s="281" t="s">
        <v>140</v>
      </c>
      <c r="B286" s="273"/>
      <c r="C286" s="272"/>
      <c r="D286" s="277"/>
      <c r="E286" s="277"/>
      <c r="F286" s="277"/>
      <c r="G286" s="277"/>
      <c r="H286" s="272"/>
      <c r="I286" s="277"/>
      <c r="J286" s="272"/>
      <c r="K286" s="277"/>
      <c r="L286" s="271"/>
      <c r="M286" s="272"/>
    </row>
    <row r="287" spans="1:13" ht="19.7" customHeight="1">
      <c r="A287" s="456" t="s">
        <v>141</v>
      </c>
      <c r="B287" s="810" t="s">
        <v>460</v>
      </c>
      <c r="C287" s="810"/>
      <c r="D287" s="810"/>
      <c r="E287" s="810"/>
      <c r="F287" s="810"/>
      <c r="G287" s="810"/>
      <c r="H287" s="810"/>
      <c r="I287" s="810"/>
      <c r="J287" s="810"/>
      <c r="K287" s="810"/>
      <c r="L287" s="287"/>
      <c r="M287" s="312"/>
    </row>
    <row r="288" spans="1:13" ht="15.75">
      <c r="A288" s="456" t="s">
        <v>142</v>
      </c>
      <c r="B288" s="810" t="s">
        <v>461</v>
      </c>
      <c r="C288" s="810"/>
      <c r="D288" s="810"/>
      <c r="E288" s="810"/>
      <c r="F288" s="810"/>
      <c r="G288" s="810"/>
      <c r="H288" s="810"/>
      <c r="I288" s="810"/>
      <c r="J288" s="810"/>
      <c r="K288" s="810"/>
      <c r="L288" s="287"/>
      <c r="M288" s="312"/>
    </row>
    <row r="289" spans="1:13" ht="15.75" customHeight="1">
      <c r="A289" s="456" t="s">
        <v>143</v>
      </c>
      <c r="B289" s="810" t="s">
        <v>567</v>
      </c>
      <c r="C289" s="810"/>
      <c r="D289" s="810"/>
      <c r="E289" s="810"/>
      <c r="F289" s="810"/>
      <c r="G289" s="810"/>
      <c r="H289" s="810"/>
      <c r="I289" s="810"/>
      <c r="J289" s="810"/>
      <c r="K289" s="810"/>
      <c r="L289" s="457"/>
      <c r="M289" s="312"/>
    </row>
    <row r="290" spans="1:13" ht="15.75" customHeight="1">
      <c r="A290" s="456" t="s">
        <v>144</v>
      </c>
      <c r="B290" s="822" t="s">
        <v>225</v>
      </c>
      <c r="C290" s="810"/>
      <c r="D290" s="810"/>
      <c r="E290" s="810"/>
      <c r="F290" s="810"/>
      <c r="G290" s="810"/>
      <c r="H290" s="810"/>
      <c r="I290" s="810"/>
      <c r="J290" s="810"/>
      <c r="K290" s="810"/>
      <c r="L290" s="457"/>
      <c r="M290" s="312"/>
    </row>
    <row r="291" spans="1:13" ht="15.75">
      <c r="A291" s="456" t="s">
        <v>145</v>
      </c>
      <c r="B291" s="810" t="s">
        <v>225</v>
      </c>
      <c r="C291" s="810"/>
      <c r="D291" s="810"/>
      <c r="E291" s="810"/>
      <c r="F291" s="810"/>
      <c r="G291" s="810"/>
      <c r="H291" s="810"/>
      <c r="I291" s="810"/>
      <c r="J291" s="810"/>
      <c r="K291" s="810"/>
      <c r="L291" s="287"/>
      <c r="M291" s="312"/>
    </row>
    <row r="292" spans="1:13" ht="196.7" customHeight="1">
      <c r="A292" s="456" t="s">
        <v>146</v>
      </c>
      <c r="B292" s="822" t="s">
        <v>841</v>
      </c>
      <c r="C292" s="822"/>
      <c r="D292" s="822"/>
      <c r="E292" s="822"/>
      <c r="F292" s="822"/>
      <c r="G292" s="822"/>
      <c r="H292" s="822"/>
      <c r="I292" s="822"/>
      <c r="J292" s="822"/>
      <c r="K292" s="822"/>
      <c r="L292" s="547"/>
      <c r="M292" s="312"/>
    </row>
    <row r="293" spans="1:13" ht="15.75">
      <c r="A293" s="456" t="s">
        <v>147</v>
      </c>
      <c r="B293" s="810" t="s">
        <v>148</v>
      </c>
      <c r="C293" s="810"/>
      <c r="D293" s="810"/>
      <c r="E293" s="810"/>
      <c r="F293" s="810"/>
      <c r="G293" s="810"/>
      <c r="H293" s="810"/>
      <c r="I293" s="810"/>
      <c r="J293" s="810"/>
      <c r="K293" s="810"/>
      <c r="L293" s="287"/>
      <c r="M293" s="312"/>
    </row>
    <row r="294" spans="1:13" ht="32.25" customHeight="1">
      <c r="A294" s="458" t="s">
        <v>149</v>
      </c>
      <c r="B294" s="810" t="s">
        <v>327</v>
      </c>
      <c r="C294" s="810"/>
      <c r="D294" s="810"/>
      <c r="E294" s="810"/>
      <c r="F294" s="810"/>
      <c r="G294" s="810"/>
      <c r="H294" s="810"/>
      <c r="I294" s="810"/>
      <c r="J294" s="810"/>
      <c r="K294" s="810"/>
      <c r="L294" s="287"/>
      <c r="M294" s="312"/>
    </row>
    <row r="295" spans="1:13" ht="32.25" customHeight="1">
      <c r="A295" s="456" t="s">
        <v>150</v>
      </c>
      <c r="B295" s="810" t="s">
        <v>216</v>
      </c>
      <c r="C295" s="810"/>
      <c r="D295" s="810"/>
      <c r="E295" s="810"/>
      <c r="F295" s="810"/>
      <c r="G295" s="810"/>
      <c r="H295" s="810"/>
      <c r="I295" s="810"/>
      <c r="J295" s="810"/>
      <c r="K295" s="810"/>
      <c r="L295" s="287"/>
      <c r="M295" s="312"/>
    </row>
    <row r="296" spans="1:13" ht="32.25" customHeight="1">
      <c r="A296" s="456" t="s">
        <v>151</v>
      </c>
      <c r="B296" s="810" t="s">
        <v>215</v>
      </c>
      <c r="C296" s="810"/>
      <c r="D296" s="810"/>
      <c r="E296" s="810"/>
      <c r="F296" s="810"/>
      <c r="G296" s="810"/>
      <c r="H296" s="810"/>
      <c r="I296" s="810"/>
      <c r="J296" s="810"/>
      <c r="K296" s="810"/>
      <c r="L296" s="546"/>
      <c r="M296" s="312"/>
    </row>
    <row r="297" spans="1:13" ht="65.45" customHeight="1">
      <c r="A297" s="456" t="s">
        <v>152</v>
      </c>
      <c r="B297" s="810" t="s">
        <v>214</v>
      </c>
      <c r="C297" s="810"/>
      <c r="D297" s="810"/>
      <c r="E297" s="810"/>
      <c r="F297" s="810"/>
      <c r="G297" s="810"/>
      <c r="H297" s="810"/>
      <c r="I297" s="810"/>
      <c r="J297" s="810"/>
      <c r="K297" s="810"/>
      <c r="L297" s="287"/>
      <c r="M297" s="312"/>
    </row>
    <row r="298" spans="1:13" ht="15.75">
      <c r="A298" s="456" t="s">
        <v>3</v>
      </c>
      <c r="B298" s="459" t="s">
        <v>211</v>
      </c>
      <c r="C298" s="460" t="s">
        <v>153</v>
      </c>
      <c r="D298" s="784">
        <f>'WP08 Tax Rates'!D6</f>
        <v>0.20999999999999999</v>
      </c>
      <c r="E298" s="810"/>
      <c r="F298" s="810"/>
      <c r="G298" s="810"/>
      <c r="H298" s="810"/>
      <c r="I298" s="810"/>
      <c r="J298" s="810"/>
      <c r="K298" s="810"/>
      <c r="L298" s="287"/>
      <c r="M298" s="312"/>
    </row>
    <row r="299" spans="1:13" ht="15.75">
      <c r="A299" s="456"/>
      <c r="B299" s="460"/>
      <c r="C299" s="460" t="s">
        <v>154</v>
      </c>
      <c r="D299" s="784">
        <f>'WP08 Tax Rates'!G16</f>
        <v>0.015559660443999999</v>
      </c>
      <c r="E299" s="810" t="s">
        <v>458</v>
      </c>
      <c r="F299" s="810"/>
      <c r="G299" s="810"/>
      <c r="H299" s="810"/>
      <c r="I299" s="810"/>
      <c r="J299" s="810"/>
      <c r="K299" s="810"/>
      <c r="L299" s="287"/>
      <c r="M299" s="312"/>
    </row>
    <row r="300" spans="1:13" ht="15.75">
      <c r="A300" s="456"/>
      <c r="B300" s="460"/>
      <c r="C300" s="460" t="s">
        <v>155</v>
      </c>
      <c r="D300" s="461"/>
      <c r="E300" s="810" t="s">
        <v>459</v>
      </c>
      <c r="F300" s="810"/>
      <c r="G300" s="810"/>
      <c r="H300" s="810"/>
      <c r="I300" s="810"/>
      <c r="J300" s="810"/>
      <c r="K300" s="810"/>
      <c r="L300" s="486"/>
      <c r="M300" s="312"/>
    </row>
    <row r="301" spans="1:13" s="326" customFormat="1" ht="15.75">
      <c r="A301" s="458" t="s">
        <v>156</v>
      </c>
      <c r="B301" s="810" t="s">
        <v>170</v>
      </c>
      <c r="C301" s="810"/>
      <c r="D301" s="810"/>
      <c r="E301" s="810"/>
      <c r="F301" s="810"/>
      <c r="G301" s="810"/>
      <c r="H301" s="810"/>
      <c r="I301" s="810"/>
      <c r="J301" s="810"/>
      <c r="K301" s="810"/>
      <c r="L301" s="287"/>
      <c r="M301" s="312"/>
    </row>
    <row r="302" spans="1:13" s="326" customFormat="1" ht="18" customHeight="1">
      <c r="A302" s="458" t="s">
        <v>157</v>
      </c>
      <c r="B302" s="810" t="s">
        <v>213</v>
      </c>
      <c r="C302" s="810"/>
      <c r="D302" s="810"/>
      <c r="E302" s="810"/>
      <c r="F302" s="810"/>
      <c r="G302" s="810"/>
      <c r="H302" s="810"/>
      <c r="I302" s="810"/>
      <c r="J302" s="810"/>
      <c r="K302" s="810"/>
      <c r="L302" s="287"/>
      <c r="M302" s="312"/>
    </row>
    <row r="303" spans="1:13" s="326" customFormat="1" ht="36" customHeight="1">
      <c r="A303" s="458" t="s">
        <v>158</v>
      </c>
      <c r="B303" s="810" t="s">
        <v>503</v>
      </c>
      <c r="C303" s="810"/>
      <c r="D303" s="810"/>
      <c r="E303" s="810"/>
      <c r="F303" s="810"/>
      <c r="G303" s="810"/>
      <c r="H303" s="810"/>
      <c r="I303" s="810"/>
      <c r="J303" s="810"/>
      <c r="K303" s="810"/>
      <c r="L303" s="287"/>
      <c r="M303" s="312"/>
    </row>
    <row r="304" spans="1:13" s="326" customFormat="1" ht="15.75">
      <c r="A304" s="458" t="s">
        <v>159</v>
      </c>
      <c r="B304" s="810" t="s">
        <v>160</v>
      </c>
      <c r="C304" s="810"/>
      <c r="D304" s="810"/>
      <c r="E304" s="810"/>
      <c r="F304" s="810"/>
      <c r="G304" s="810"/>
      <c r="H304" s="810"/>
      <c r="I304" s="810"/>
      <c r="J304" s="810"/>
      <c r="K304" s="810"/>
      <c r="L304" s="287"/>
      <c r="M304" s="312"/>
    </row>
    <row r="305" spans="1:14" s="326" customFormat="1" ht="48" customHeight="1">
      <c r="A305" s="458" t="s">
        <v>161</v>
      </c>
      <c r="B305" s="810" t="s">
        <v>568</v>
      </c>
      <c r="C305" s="810"/>
      <c r="D305" s="810"/>
      <c r="E305" s="810"/>
      <c r="F305" s="810"/>
      <c r="G305" s="810"/>
      <c r="H305" s="810"/>
      <c r="I305" s="810"/>
      <c r="J305" s="810"/>
      <c r="K305" s="810"/>
      <c r="L305" s="820"/>
      <c r="M305" s="820"/>
      <c r="N305" s="820"/>
    </row>
    <row r="306" spans="1:13" s="326" customFormat="1" ht="23.45" customHeight="1">
      <c r="A306" s="458" t="s">
        <v>162</v>
      </c>
      <c r="B306" s="810" t="s">
        <v>212</v>
      </c>
      <c r="C306" s="810"/>
      <c r="D306" s="810"/>
      <c r="E306" s="810"/>
      <c r="F306" s="810"/>
      <c r="G306" s="810"/>
      <c r="H306" s="810"/>
      <c r="I306" s="810"/>
      <c r="J306" s="810"/>
      <c r="K306" s="810"/>
      <c r="L306" s="287"/>
      <c r="M306" s="312"/>
    </row>
    <row r="307" spans="1:13" s="326" customFormat="1" ht="15.75">
      <c r="A307" s="458" t="s">
        <v>163</v>
      </c>
      <c r="B307" s="810" t="s">
        <v>164</v>
      </c>
      <c r="C307" s="810"/>
      <c r="D307" s="810"/>
      <c r="E307" s="810"/>
      <c r="F307" s="810"/>
      <c r="G307" s="810"/>
      <c r="H307" s="810"/>
      <c r="I307" s="810"/>
      <c r="J307" s="810"/>
      <c r="K307" s="810"/>
      <c r="L307" s="287"/>
      <c r="M307" s="312"/>
    </row>
    <row r="308" spans="1:13" s="326" customFormat="1" ht="20.25" customHeight="1">
      <c r="A308" s="458" t="s">
        <v>165</v>
      </c>
      <c r="B308" s="810" t="s">
        <v>536</v>
      </c>
      <c r="C308" s="810"/>
      <c r="D308" s="810"/>
      <c r="E308" s="810"/>
      <c r="F308" s="810"/>
      <c r="G308" s="810"/>
      <c r="H308" s="810"/>
      <c r="I308" s="810"/>
      <c r="J308" s="810"/>
      <c r="K308" s="810"/>
      <c r="L308" s="287"/>
      <c r="M308" s="312"/>
    </row>
    <row r="309" spans="1:13" s="326" customFormat="1" ht="61.35" customHeight="1">
      <c r="A309" s="462" t="s">
        <v>166</v>
      </c>
      <c r="B309" s="810" t="s">
        <v>538</v>
      </c>
      <c r="C309" s="810"/>
      <c r="D309" s="810"/>
      <c r="E309" s="810"/>
      <c r="F309" s="810"/>
      <c r="G309" s="810"/>
      <c r="H309" s="810"/>
      <c r="I309" s="810"/>
      <c r="J309" s="810"/>
      <c r="K309" s="810"/>
      <c r="L309" s="287"/>
      <c r="M309" s="312"/>
    </row>
    <row r="310" spans="1:13" s="326" customFormat="1" ht="81" customHeight="1">
      <c r="A310" s="462" t="s">
        <v>167</v>
      </c>
      <c r="B310" s="810" t="s">
        <v>569</v>
      </c>
      <c r="C310" s="810"/>
      <c r="D310" s="810"/>
      <c r="E310" s="810"/>
      <c r="F310" s="810"/>
      <c r="G310" s="810"/>
      <c r="H310" s="810"/>
      <c r="I310" s="810"/>
      <c r="J310" s="810"/>
      <c r="K310" s="810"/>
      <c r="L310" s="287"/>
      <c r="M310" s="312"/>
    </row>
    <row r="311" spans="1:12" s="326" customFormat="1" ht="52.5" customHeight="1">
      <c r="A311" s="462" t="s">
        <v>168</v>
      </c>
      <c r="B311" s="822" t="s">
        <v>726</v>
      </c>
      <c r="C311" s="822"/>
      <c r="D311" s="822"/>
      <c r="E311" s="822"/>
      <c r="F311" s="822"/>
      <c r="G311" s="822"/>
      <c r="H311" s="822"/>
      <c r="I311" s="822"/>
      <c r="J311" s="822"/>
      <c r="K311" s="822"/>
      <c r="L311" s="463"/>
    </row>
    <row r="312" spans="1:12" s="326" customFormat="1" ht="15.75" customHeight="1">
      <c r="A312" s="462" t="s">
        <v>169</v>
      </c>
      <c r="B312" s="823" t="s">
        <v>185</v>
      </c>
      <c r="C312" s="823"/>
      <c r="D312" s="823"/>
      <c r="E312" s="823"/>
      <c r="F312" s="823"/>
      <c r="G312" s="823"/>
      <c r="H312" s="823"/>
      <c r="I312" s="823"/>
      <c r="J312" s="823"/>
      <c r="K312" s="823"/>
      <c r="L312" s="464"/>
    </row>
    <row r="313" spans="1:12" s="326" customFormat="1" ht="15.75" customHeight="1">
      <c r="A313" s="462" t="s">
        <v>180</v>
      </c>
      <c r="B313" s="810" t="s">
        <v>463</v>
      </c>
      <c r="C313" s="810"/>
      <c r="D313" s="810"/>
      <c r="E313" s="810"/>
      <c r="F313" s="810"/>
      <c r="G313" s="810"/>
      <c r="H313" s="810"/>
      <c r="I313" s="810"/>
      <c r="J313" s="810"/>
      <c r="K313" s="810"/>
      <c r="L313" s="464"/>
    </row>
    <row r="314" spans="1:12" s="326" customFormat="1" ht="15.75" customHeight="1">
      <c r="A314" s="462" t="s">
        <v>181</v>
      </c>
      <c r="B314" s="822" t="s">
        <v>689</v>
      </c>
      <c r="C314" s="822"/>
      <c r="D314" s="822"/>
      <c r="E314" s="822"/>
      <c r="F314" s="822"/>
      <c r="G314" s="822"/>
      <c r="H314" s="822"/>
      <c r="I314" s="822"/>
      <c r="J314" s="822"/>
      <c r="K314" s="822"/>
      <c r="L314" s="464"/>
    </row>
    <row r="315" spans="1:12" s="326" customFormat="1" ht="15.75">
      <c r="A315" s="462" t="s">
        <v>226</v>
      </c>
      <c r="B315" s="814" t="s">
        <v>537</v>
      </c>
      <c r="C315" s="814"/>
      <c r="D315" s="814"/>
      <c r="E315" s="814"/>
      <c r="F315" s="814"/>
      <c r="G315" s="814"/>
      <c r="H315" s="814"/>
      <c r="I315" s="814"/>
      <c r="J315" s="814"/>
      <c r="K315" s="814"/>
      <c r="L315" s="464"/>
    </row>
    <row r="316" spans="1:12" s="326" customFormat="1" ht="15.75">
      <c r="A316" s="465" t="s">
        <v>530</v>
      </c>
      <c r="B316" s="814" t="s">
        <v>531</v>
      </c>
      <c r="C316" s="814"/>
      <c r="D316" s="814"/>
      <c r="E316" s="814"/>
      <c r="F316" s="814"/>
      <c r="G316" s="814"/>
      <c r="H316" s="814"/>
      <c r="I316" s="814"/>
      <c r="J316" s="814"/>
      <c r="K316" s="814"/>
      <c r="L316" s="464"/>
    </row>
    <row r="317" spans="1:11" ht="48.6" customHeight="1">
      <c r="A317" s="466" t="s">
        <v>532</v>
      </c>
      <c r="B317" s="815" t="s">
        <v>570</v>
      </c>
      <c r="C317" s="816"/>
      <c r="D317" s="816"/>
      <c r="E317" s="816"/>
      <c r="F317" s="816"/>
      <c r="G317" s="816"/>
      <c r="H317" s="816"/>
      <c r="I317" s="816"/>
      <c r="J317" s="816"/>
      <c r="K317" s="816"/>
    </row>
    <row r="318" spans="1:11" ht="15.75">
      <c r="A318" s="466" t="s">
        <v>533</v>
      </c>
      <c r="B318" s="816" t="s">
        <v>534</v>
      </c>
      <c r="C318" s="816"/>
      <c r="D318" s="816"/>
      <c r="E318" s="816"/>
      <c r="F318" s="816"/>
      <c r="G318" s="816"/>
      <c r="H318" s="816"/>
      <c r="I318" s="816"/>
      <c r="J318" s="816"/>
      <c r="K318" s="816"/>
    </row>
    <row r="319" spans="1:11" ht="33" customHeight="1">
      <c r="A319" s="466" t="s">
        <v>535</v>
      </c>
      <c r="B319" s="817" t="s">
        <v>563</v>
      </c>
      <c r="C319" s="817"/>
      <c r="D319" s="817"/>
      <c r="E319" s="817"/>
      <c r="F319" s="817"/>
      <c r="G319" s="817"/>
      <c r="H319" s="817"/>
      <c r="I319" s="817"/>
      <c r="J319" s="817"/>
      <c r="K319" s="817"/>
    </row>
    <row r="320" spans="1:12" s="369" customFormat="1" ht="67.35" customHeight="1">
      <c r="A320" s="74" t="s">
        <v>619</v>
      </c>
      <c r="B320" s="818" t="s">
        <v>837</v>
      </c>
      <c r="C320" s="818"/>
      <c r="D320" s="818"/>
      <c r="E320" s="818"/>
      <c r="F320" s="818"/>
      <c r="G320" s="818"/>
      <c r="H320" s="818"/>
      <c r="I320" s="818"/>
      <c r="J320" s="818"/>
      <c r="K320" s="818"/>
      <c r="L320" s="468"/>
    </row>
    <row r="321" spans="1:11" ht="69" customHeight="1">
      <c r="A321" s="74" t="s">
        <v>631</v>
      </c>
      <c r="B321" s="819" t="s">
        <v>838</v>
      </c>
      <c r="C321" s="819"/>
      <c r="D321" s="819"/>
      <c r="E321" s="819"/>
      <c r="F321" s="819"/>
      <c r="G321" s="819"/>
      <c r="H321" s="819"/>
      <c r="I321" s="819"/>
      <c r="J321" s="819"/>
      <c r="K321" s="819"/>
    </row>
    <row r="322" spans="1:11" ht="50.1" customHeight="1">
      <c r="A322" s="74" t="s">
        <v>632</v>
      </c>
      <c r="B322" s="818" t="s">
        <v>643</v>
      </c>
      <c r="C322" s="818"/>
      <c r="D322" s="818"/>
      <c r="E322" s="818"/>
      <c r="F322" s="818"/>
      <c r="G322" s="818"/>
      <c r="H322" s="818"/>
      <c r="I322" s="818"/>
      <c r="J322" s="818"/>
      <c r="K322" s="818"/>
    </row>
    <row r="323" spans="1:11" ht="15.75">
      <c r="A323" s="326"/>
      <c r="B323" s="324"/>
      <c r="C323" s="324"/>
      <c r="D323" s="287"/>
      <c r="E323" s="324"/>
      <c r="F323" s="324"/>
      <c r="G323" s="324"/>
      <c r="H323" s="312"/>
      <c r="I323" s="312"/>
      <c r="J323" s="326"/>
      <c r="K323" s="326"/>
    </row>
    <row r="324" spans="1:11" ht="15.75">
      <c r="A324" s="305"/>
      <c r="B324" s="813"/>
      <c r="C324" s="813"/>
      <c r="D324" s="813"/>
      <c r="E324" s="813"/>
      <c r="F324" s="813"/>
      <c r="G324" s="813"/>
      <c r="H324" s="813"/>
      <c r="I324" s="813"/>
      <c r="J324" s="813"/>
      <c r="K324" s="813"/>
    </row>
    <row r="325" spans="1:11" ht="15.75">
      <c r="A325" s="305"/>
      <c r="B325" s="813"/>
      <c r="C325" s="813"/>
      <c r="D325" s="813"/>
      <c r="E325" s="813"/>
      <c r="F325" s="813"/>
      <c r="G325" s="813"/>
      <c r="H325" s="813"/>
      <c r="I325" s="813"/>
      <c r="J325" s="813"/>
      <c r="K325" s="813"/>
    </row>
    <row r="326" spans="1:11" ht="15.75">
      <c r="A326" s="305"/>
      <c r="B326" s="813"/>
      <c r="C326" s="813"/>
      <c r="D326" s="813"/>
      <c r="E326" s="813"/>
      <c r="F326" s="813"/>
      <c r="G326" s="813"/>
      <c r="H326" s="813"/>
      <c r="I326" s="813"/>
      <c r="J326" s="813"/>
      <c r="K326" s="813"/>
    </row>
    <row r="327" spans="1:11" ht="15.75">
      <c r="A327" s="305"/>
      <c r="B327" s="326"/>
      <c r="C327" s="312"/>
      <c r="D327" s="279"/>
      <c r="E327" s="312"/>
      <c r="F327" s="312"/>
      <c r="G327" s="312"/>
      <c r="H327" s="312"/>
      <c r="I327" s="312"/>
      <c r="J327" s="326"/>
      <c r="K327" s="326"/>
    </row>
    <row r="328" spans="1:11" ht="15.75">
      <c r="A328" s="305"/>
      <c r="B328" s="813"/>
      <c r="C328" s="813"/>
      <c r="D328" s="813"/>
      <c r="E328" s="813"/>
      <c r="F328" s="813"/>
      <c r="G328" s="813"/>
      <c r="H328" s="813"/>
      <c r="I328" s="813"/>
      <c r="J328" s="813"/>
      <c r="K328" s="813"/>
    </row>
    <row r="329" spans="1:11" ht="15.75">
      <c r="A329" s="305"/>
      <c r="B329" s="813"/>
      <c r="C329" s="813"/>
      <c r="D329" s="813"/>
      <c r="E329" s="813"/>
      <c r="F329" s="813"/>
      <c r="G329" s="813"/>
      <c r="H329" s="813"/>
      <c r="I329" s="813"/>
      <c r="J329" s="813"/>
      <c r="K329" s="813"/>
    </row>
    <row r="330" spans="1:11" ht="15.75">
      <c r="A330" s="305"/>
      <c r="B330" s="813"/>
      <c r="C330" s="813"/>
      <c r="D330" s="813"/>
      <c r="E330" s="813"/>
      <c r="F330" s="813"/>
      <c r="G330" s="813"/>
      <c r="H330" s="813"/>
      <c r="I330" s="813"/>
      <c r="J330" s="813"/>
      <c r="K330" s="813"/>
    </row>
    <row r="331" spans="1:11" ht="15.75">
      <c r="A331" s="305"/>
      <c r="B331" s="326"/>
      <c r="C331" s="312"/>
      <c r="D331" s="279"/>
      <c r="E331" s="312"/>
      <c r="F331" s="312"/>
      <c r="G331" s="312"/>
      <c r="H331" s="312"/>
      <c r="I331" s="312"/>
      <c r="J331" s="326"/>
      <c r="K331" s="326"/>
    </row>
    <row r="332" spans="1:11" ht="15.75">
      <c r="A332" s="305"/>
      <c r="B332" s="326"/>
      <c r="C332" s="312"/>
      <c r="D332" s="279"/>
      <c r="E332" s="312"/>
      <c r="F332" s="312"/>
      <c r="G332" s="312"/>
      <c r="H332" s="312"/>
      <c r="I332" s="312"/>
      <c r="J332" s="326"/>
      <c r="K332" s="326"/>
    </row>
    <row r="333" spans="1:11" ht="15.75">
      <c r="A333" s="335"/>
      <c r="B333" s="356"/>
      <c r="C333" s="284"/>
      <c r="D333" s="469"/>
      <c r="E333" s="284"/>
      <c r="F333" s="284"/>
      <c r="G333" s="284"/>
      <c r="H333" s="284"/>
      <c r="I333" s="335"/>
      <c r="J333" s="326"/>
      <c r="K333" s="326"/>
    </row>
    <row r="334" spans="1:11" ht="15.75">
      <c r="A334" s="335"/>
      <c r="B334" s="356"/>
      <c r="C334" s="284"/>
      <c r="D334" s="284"/>
      <c r="E334" s="284"/>
      <c r="F334" s="284"/>
      <c r="G334" s="335"/>
      <c r="H334" s="284"/>
      <c r="I334" s="335"/>
      <c r="J334" s="326"/>
      <c r="K334" s="326"/>
    </row>
    <row r="335" spans="1:11" ht="15.75">
      <c r="A335" s="335"/>
      <c r="B335" s="356"/>
      <c r="C335" s="284"/>
      <c r="D335" s="301"/>
      <c r="E335" s="284"/>
      <c r="F335" s="284"/>
      <c r="G335" s="284"/>
      <c r="H335" s="284"/>
      <c r="I335" s="470"/>
      <c r="J335" s="326"/>
      <c r="K335" s="326"/>
    </row>
    <row r="336" spans="1:11" ht="15.75">
      <c r="A336" s="356"/>
      <c r="B336" s="356"/>
      <c r="C336" s="335"/>
      <c r="D336" s="335"/>
      <c r="E336" s="355"/>
      <c r="F336" s="355"/>
      <c r="G336" s="471"/>
      <c r="H336" s="355"/>
      <c r="I336" s="348"/>
      <c r="J336" s="326"/>
      <c r="K336" s="326"/>
    </row>
    <row r="337" spans="1:11" ht="15.75">
      <c r="A337" s="356"/>
      <c r="B337" s="356"/>
      <c r="C337" s="472"/>
      <c r="D337" s="355"/>
      <c r="E337" s="355"/>
      <c r="F337" s="355"/>
      <c r="G337" s="335"/>
      <c r="H337" s="355"/>
      <c r="I337" s="473"/>
      <c r="J337" s="326"/>
      <c r="K337" s="326"/>
    </row>
    <row r="338" spans="1:11" ht="15.75">
      <c r="A338" s="335"/>
      <c r="B338" s="474"/>
      <c r="C338" s="475"/>
      <c r="D338" s="473"/>
      <c r="E338" s="476"/>
      <c r="F338" s="473"/>
      <c r="G338" s="356"/>
      <c r="H338" s="476"/>
      <c r="I338" s="335"/>
      <c r="J338" s="326"/>
      <c r="K338" s="326"/>
    </row>
    <row r="339" spans="1:11" ht="15.75">
      <c r="A339" s="335"/>
      <c r="B339" s="477"/>
      <c r="C339" s="355"/>
      <c r="D339" s="355"/>
      <c r="E339" s="355"/>
      <c r="F339" s="355"/>
      <c r="G339" s="355"/>
      <c r="H339" s="355"/>
      <c r="I339" s="355"/>
      <c r="J339" s="326"/>
      <c r="K339" s="326"/>
    </row>
    <row r="340" spans="1:11" ht="15.75">
      <c r="A340" s="335"/>
      <c r="B340" s="474"/>
      <c r="C340" s="355"/>
      <c r="D340" s="355"/>
      <c r="E340" s="355"/>
      <c r="F340" s="355"/>
      <c r="G340" s="355"/>
      <c r="H340" s="355"/>
      <c r="I340" s="355"/>
      <c r="J340" s="326"/>
      <c r="K340" s="326"/>
    </row>
    <row r="341" spans="1:11" ht="15.75">
      <c r="A341" s="335"/>
      <c r="B341" s="474"/>
      <c r="C341" s="355"/>
      <c r="D341" s="355"/>
      <c r="E341" s="355"/>
      <c r="F341" s="355"/>
      <c r="G341" s="355"/>
      <c r="H341" s="355"/>
      <c r="I341" s="355"/>
      <c r="J341" s="326"/>
      <c r="K341" s="326"/>
    </row>
    <row r="342" spans="1:11" ht="15.75">
      <c r="A342" s="335"/>
      <c r="B342" s="478"/>
      <c r="C342" s="356"/>
      <c r="D342" s="355"/>
      <c r="E342" s="355"/>
      <c r="F342" s="355"/>
      <c r="G342" s="479"/>
      <c r="H342" s="355"/>
      <c r="I342" s="355"/>
      <c r="J342" s="326"/>
      <c r="K342" s="326"/>
    </row>
    <row r="343" spans="1:11" ht="15.75">
      <c r="A343" s="335"/>
      <c r="B343" s="474"/>
      <c r="C343" s="356"/>
      <c r="D343" s="355"/>
      <c r="E343" s="355"/>
      <c r="F343" s="355"/>
      <c r="G343" s="479"/>
      <c r="H343" s="355"/>
      <c r="I343" s="355"/>
      <c r="J343" s="326"/>
      <c r="K343" s="326"/>
    </row>
    <row r="344" spans="1:11" ht="15.75">
      <c r="A344" s="335"/>
      <c r="B344" s="474"/>
      <c r="C344" s="355"/>
      <c r="D344" s="355"/>
      <c r="E344" s="355"/>
      <c r="F344" s="355"/>
      <c r="G344" s="355"/>
      <c r="H344" s="355"/>
      <c r="I344" s="355"/>
      <c r="J344" s="326"/>
      <c r="K344" s="326"/>
    </row>
    <row r="345" spans="1:11" ht="15.75">
      <c r="A345" s="335"/>
      <c r="B345" s="474"/>
      <c r="C345" s="355"/>
      <c r="D345" s="355"/>
      <c r="E345" s="355"/>
      <c r="F345" s="355"/>
      <c r="G345" s="355"/>
      <c r="H345" s="355"/>
      <c r="I345" s="355"/>
      <c r="J345" s="326"/>
      <c r="K345" s="326"/>
    </row>
    <row r="346" spans="1:11" ht="15.75">
      <c r="A346" s="335"/>
      <c r="B346" s="474"/>
      <c r="C346" s="284"/>
      <c r="D346" s="355"/>
      <c r="E346" s="355"/>
      <c r="F346" s="288"/>
      <c r="G346" s="288"/>
      <c r="H346" s="312"/>
      <c r="I346" s="288"/>
      <c r="J346" s="326"/>
      <c r="K346" s="326"/>
    </row>
    <row r="347" spans="1:11" ht="15.75">
      <c r="A347" s="335"/>
      <c r="B347" s="474"/>
      <c r="C347" s="284"/>
      <c r="D347" s="355"/>
      <c r="E347" s="355"/>
      <c r="F347" s="288"/>
      <c r="G347" s="288"/>
      <c r="H347" s="312"/>
      <c r="I347" s="288"/>
      <c r="J347" s="326"/>
      <c r="K347" s="326"/>
    </row>
    <row r="348" spans="1:11" ht="15.75">
      <c r="A348" s="335"/>
      <c r="B348" s="284"/>
      <c r="C348" s="284"/>
      <c r="D348" s="284"/>
      <c r="E348" s="284"/>
      <c r="F348" s="312"/>
      <c r="G348" s="312"/>
      <c r="H348" s="312"/>
      <c r="I348" s="312"/>
      <c r="J348" s="326"/>
      <c r="K348" s="326"/>
    </row>
    <row r="349" spans="1:11" ht="15.75">
      <c r="A349" s="305"/>
      <c r="B349" s="312"/>
      <c r="C349" s="312"/>
      <c r="D349" s="312"/>
      <c r="E349" s="312"/>
      <c r="F349" s="312"/>
      <c r="G349" s="312"/>
      <c r="H349" s="312"/>
      <c r="I349" s="312"/>
      <c r="J349" s="326"/>
      <c r="K349" s="326"/>
    </row>
    <row r="350" spans="1:11" ht="15.75">
      <c r="A350" s="305"/>
      <c r="B350" s="312"/>
      <c r="C350" s="312"/>
      <c r="D350" s="312"/>
      <c r="E350" s="312"/>
      <c r="F350" s="312"/>
      <c r="G350" s="312"/>
      <c r="H350" s="312"/>
      <c r="I350" s="312"/>
      <c r="J350" s="326"/>
      <c r="K350" s="326"/>
    </row>
    <row r="351" spans="1:11" ht="15.75">
      <c r="A351" s="305"/>
      <c r="B351" s="480"/>
      <c r="C351" s="312"/>
      <c r="D351" s="312"/>
      <c r="E351" s="312"/>
      <c r="F351" s="312"/>
      <c r="G351" s="312"/>
      <c r="H351" s="312"/>
      <c r="I351" s="312"/>
      <c r="J351" s="326"/>
      <c r="K351" s="326"/>
    </row>
    <row r="352" spans="1:11" ht="15.75">
      <c r="A352" s="305"/>
      <c r="B352" s="480"/>
      <c r="C352" s="312"/>
      <c r="D352" s="312"/>
      <c r="E352" s="312"/>
      <c r="F352" s="312"/>
      <c r="G352" s="312"/>
      <c r="H352" s="312"/>
      <c r="I352" s="312"/>
      <c r="J352" s="326"/>
      <c r="K352" s="326"/>
    </row>
    <row r="353" spans="1:11" ht="15.75">
      <c r="A353" s="305"/>
      <c r="B353" s="480"/>
      <c r="C353" s="312"/>
      <c r="D353" s="312"/>
      <c r="E353" s="312"/>
      <c r="F353" s="312"/>
      <c r="G353" s="312"/>
      <c r="H353" s="312"/>
      <c r="I353" s="312"/>
      <c r="J353" s="326"/>
      <c r="K353" s="326"/>
    </row>
    <row r="354" spans="1:11" ht="15.75">
      <c r="A354" s="305"/>
      <c r="B354" s="480"/>
      <c r="C354" s="312"/>
      <c r="D354" s="312"/>
      <c r="E354" s="312"/>
      <c r="F354" s="312"/>
      <c r="G354" s="312"/>
      <c r="H354" s="312"/>
      <c r="I354" s="312"/>
      <c r="J354" s="326"/>
      <c r="K354" s="326"/>
    </row>
    <row r="355" spans="1:11" ht="15.75">
      <c r="A355" s="305"/>
      <c r="B355" s="480"/>
      <c r="C355" s="312"/>
      <c r="D355" s="312"/>
      <c r="E355" s="312"/>
      <c r="F355" s="312"/>
      <c r="G355" s="312"/>
      <c r="H355" s="312"/>
      <c r="I355" s="312"/>
      <c r="J355" s="326"/>
      <c r="K355" s="326"/>
    </row>
    <row r="356" spans="1:11" ht="15.75">
      <c r="A356" s="305"/>
      <c r="B356" s="480"/>
      <c r="C356" s="312"/>
      <c r="D356" s="312"/>
      <c r="E356" s="312"/>
      <c r="F356" s="312"/>
      <c r="G356" s="312"/>
      <c r="H356" s="312"/>
      <c r="I356" s="312"/>
      <c r="J356" s="326"/>
      <c r="K356" s="326"/>
    </row>
    <row r="357" spans="1:11" ht="15.75">
      <c r="A357" s="305"/>
      <c r="B357" s="480"/>
      <c r="C357" s="312"/>
      <c r="D357" s="312"/>
      <c r="E357" s="312"/>
      <c r="F357" s="312"/>
      <c r="G357" s="312"/>
      <c r="H357" s="312"/>
      <c r="I357" s="312"/>
      <c r="J357" s="326"/>
      <c r="K357" s="326"/>
    </row>
    <row r="358" spans="1:11" ht="15.75">
      <c r="A358" s="305"/>
      <c r="B358" s="312"/>
      <c r="C358" s="312"/>
      <c r="D358" s="312"/>
      <c r="E358" s="312"/>
      <c r="F358" s="312"/>
      <c r="G358" s="312"/>
      <c r="H358" s="312"/>
      <c r="I358" s="312"/>
      <c r="J358" s="326"/>
      <c r="K358" s="326"/>
    </row>
    <row r="359" spans="1:11" ht="15.75">
      <c r="A359" s="305"/>
      <c r="B359" s="312"/>
      <c r="C359" s="312"/>
      <c r="D359" s="312"/>
      <c r="E359" s="312"/>
      <c r="F359" s="312"/>
      <c r="G359" s="312"/>
      <c r="H359" s="312"/>
      <c r="I359" s="312"/>
      <c r="J359" s="326"/>
      <c r="K359" s="326"/>
    </row>
    <row r="360" spans="1:19" s="326" customFormat="1" ht="15.75">
      <c r="A360" s="481"/>
      <c r="B360" s="287"/>
      <c r="L360" s="464"/>
      <c r="N360" s="269"/>
      <c r="O360" s="269"/>
      <c r="P360" s="269"/>
      <c r="Q360" s="269"/>
      <c r="R360" s="269"/>
      <c r="S360" s="269"/>
    </row>
    <row r="361" spans="2:19" s="326" customFormat="1" ht="15.75">
      <c r="B361" s="287"/>
      <c r="L361" s="464"/>
      <c r="N361" s="269"/>
      <c r="O361" s="269"/>
      <c r="P361" s="269"/>
      <c r="Q361" s="269"/>
      <c r="R361" s="269"/>
      <c r="S361" s="269"/>
    </row>
    <row r="362" spans="2:19" s="326" customFormat="1" ht="15.75">
      <c r="B362" s="287"/>
      <c r="L362" s="464"/>
      <c r="N362" s="269"/>
      <c r="O362" s="269"/>
      <c r="P362" s="269"/>
      <c r="Q362" s="269"/>
      <c r="R362" s="269"/>
      <c r="S362" s="269"/>
    </row>
    <row r="363" spans="2:19" s="326" customFormat="1" ht="15.75">
      <c r="B363" s="287"/>
      <c r="L363" s="464"/>
      <c r="N363" s="269"/>
      <c r="O363" s="269"/>
      <c r="P363" s="269"/>
      <c r="Q363" s="269"/>
      <c r="R363" s="269"/>
      <c r="S363" s="269"/>
    </row>
    <row r="364" spans="2:19" s="326" customFormat="1" ht="15.75">
      <c r="B364" s="287"/>
      <c r="L364" s="464"/>
      <c r="N364" s="269"/>
      <c r="O364" s="269"/>
      <c r="P364" s="269"/>
      <c r="Q364" s="269"/>
      <c r="R364" s="269"/>
      <c r="S364" s="269"/>
    </row>
    <row r="365" spans="2:19" s="326" customFormat="1" ht="15.75">
      <c r="B365" s="287"/>
      <c r="L365" s="464"/>
      <c r="N365" s="269"/>
      <c r="O365" s="269"/>
      <c r="P365" s="269"/>
      <c r="Q365" s="269"/>
      <c r="R365" s="269"/>
      <c r="S365" s="269"/>
    </row>
    <row r="366" spans="2:19" s="326" customFormat="1" ht="15.75">
      <c r="B366" s="287"/>
      <c r="L366" s="464"/>
      <c r="N366" s="269"/>
      <c r="O366" s="269"/>
      <c r="P366" s="269"/>
      <c r="Q366" s="269"/>
      <c r="R366" s="269"/>
      <c r="S366" s="269"/>
    </row>
    <row r="367" spans="2:19" s="326" customFormat="1" ht="15.75">
      <c r="B367" s="287"/>
      <c r="L367" s="464"/>
      <c r="N367" s="269"/>
      <c r="O367" s="269"/>
      <c r="P367" s="269"/>
      <c r="Q367" s="269"/>
      <c r="R367" s="269"/>
      <c r="S367" s="269"/>
    </row>
    <row r="368" spans="12:19" s="326" customFormat="1" ht="15.75">
      <c r="L368" s="464"/>
      <c r="N368" s="269"/>
      <c r="O368" s="269"/>
      <c r="P368" s="269"/>
      <c r="Q368" s="269"/>
      <c r="R368" s="269"/>
      <c r="S368" s="269"/>
    </row>
    <row r="369" spans="1:12" ht="15.75">
      <c r="A369" s="273"/>
      <c r="B369" s="277"/>
      <c r="C369" s="376"/>
      <c r="D369" s="277"/>
      <c r="E369" s="277"/>
      <c r="F369" s="362"/>
      <c r="G369" s="277"/>
      <c r="H369" s="376"/>
      <c r="I369" s="277"/>
      <c r="K369" s="378"/>
      <c r="L369" s="325"/>
    </row>
    <row r="370" spans="1:12" ht="15.75">
      <c r="A370" s="273"/>
      <c r="B370" s="277"/>
      <c r="C370" s="376"/>
      <c r="D370" s="277"/>
      <c r="E370" s="277"/>
      <c r="F370" s="362"/>
      <c r="G370" s="277"/>
      <c r="H370" s="376"/>
      <c r="I370" s="277"/>
      <c r="K370" s="378"/>
      <c r="L370" s="325"/>
    </row>
    <row r="371" spans="1:12" ht="15.75">
      <c r="A371" s="273"/>
      <c r="B371" s="277"/>
      <c r="C371" s="376"/>
      <c r="D371" s="277"/>
      <c r="E371" s="277"/>
      <c r="F371" s="362"/>
      <c r="G371" s="277"/>
      <c r="H371" s="376"/>
      <c r="I371" s="277"/>
      <c r="J371" s="410"/>
      <c r="K371" s="410"/>
      <c r="L371" s="325"/>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scale="44" r:id="rId2"/>
      <headerFooter alignWithMargins="0"/>
    </customSheetView>
  </customSheetViews>
  <mergeCells count="46">
    <mergeCell ref="L305:N305"/>
    <mergeCell ref="M236:R236"/>
    <mergeCell ref="E299:K299"/>
    <mergeCell ref="B314:K314"/>
    <mergeCell ref="B289:K289"/>
    <mergeCell ref="B288:K288"/>
    <mergeCell ref="B292:K292"/>
    <mergeCell ref="B287:K287"/>
    <mergeCell ref="B313:K313"/>
    <mergeCell ref="B296:K296"/>
    <mergeCell ref="B295:K295"/>
    <mergeCell ref="B297:K297"/>
    <mergeCell ref="B290:K290"/>
    <mergeCell ref="B291:K291"/>
    <mergeCell ref="B312:K312"/>
    <mergeCell ref="B311:K311"/>
    <mergeCell ref="B303:K303"/>
    <mergeCell ref="B315:K315"/>
    <mergeCell ref="B330:K330"/>
    <mergeCell ref="B329:K329"/>
    <mergeCell ref="B328:K328"/>
    <mergeCell ref="B326:K326"/>
    <mergeCell ref="B325:K325"/>
    <mergeCell ref="B316:K316"/>
    <mergeCell ref="B317:K317"/>
    <mergeCell ref="B318:K318"/>
    <mergeCell ref="B319:K319"/>
    <mergeCell ref="B320:K320"/>
    <mergeCell ref="B321:K321"/>
    <mergeCell ref="B322:K322"/>
    <mergeCell ref="B293:K293"/>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s>
  <printOptions horizontalCentered="1"/>
  <pageMargins left="0.7" right="0.7" top="0.75" bottom="0.75" header="0.3" footer="0.3"/>
  <pageSetup fitToHeight="0" fitToWidth="0" orientation="portrait" scale="43"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Q28"/>
  <sheetViews>
    <sheetView view="pageBreakPreview" zoomScale="80" zoomScaleNormal="65" zoomScaleSheetLayoutView="80" workbookViewId="0" topLeftCell="A1">
      <selection pane="topLeft" activeCell="E7" sqref="E7"/>
    </sheetView>
  </sheetViews>
  <sheetFormatPr defaultColWidth="8.88555555555556" defaultRowHeight="15.75"/>
  <cols>
    <col min="1" max="1" width="4.88888888888889" style="1" customWidth="1"/>
    <col min="2" max="2" width="46.1111111111111" style="1" customWidth="1"/>
    <col min="3" max="3" width="3.33333333333333" style="1" bestFit="1" customWidth="1"/>
    <col min="4" max="4" width="25.2222222222222" style="1" bestFit="1" customWidth="1"/>
    <col min="5" max="5" width="22.2222222222222" style="1" customWidth="1"/>
    <col min="6" max="6" width="18.8888888888889" style="1" customWidth="1"/>
    <col min="7" max="7" width="22.8888888888889" style="1" customWidth="1"/>
    <col min="8" max="16384" width="8.88888888888889" style="1"/>
  </cols>
  <sheetData>
    <row r="1" spans="1:7" ht="15.75">
      <c r="A1" s="618"/>
      <c r="B1" s="618"/>
      <c r="G1" s="4" t="s">
        <v>630</v>
      </c>
    </row>
    <row r="2" spans="1:7" ht="15.75">
      <c r="A2" s="618"/>
      <c r="B2" s="618"/>
      <c r="G2" s="138" t="s">
        <v>276</v>
      </c>
    </row>
    <row r="3" spans="1:7" ht="15.75">
      <c r="A3" s="618"/>
      <c r="B3" s="618"/>
      <c r="G3" s="7" t="str">
        <f>'Attachment H-21-A ATSI '!K4</f>
        <v>For the 12 months ended 12/31/2023</v>
      </c>
    </row>
    <row r="5" spans="2:6" ht="15.75">
      <c r="B5" s="840" t="s">
        <v>623</v>
      </c>
      <c r="C5" s="840"/>
      <c r="D5" s="840"/>
      <c r="E5" s="840"/>
      <c r="F5" s="840"/>
    </row>
    <row r="6" spans="2:6" ht="15.75">
      <c r="B6" s="841" t="s">
        <v>313</v>
      </c>
      <c r="C6" s="841" t="s">
        <v>623</v>
      </c>
      <c r="D6" s="841"/>
      <c r="E6" s="841"/>
      <c r="F6" s="841"/>
    </row>
    <row r="7" spans="2:6" ht="15.75">
      <c r="B7" s="256"/>
      <c r="C7" s="256"/>
      <c r="D7" s="489"/>
      <c r="E7" s="489"/>
      <c r="F7" s="256"/>
    </row>
    <row r="8" spans="2:7" ht="15.75">
      <c r="B8" s="256" t="s">
        <v>624</v>
      </c>
      <c r="D8" s="256" t="s">
        <v>625</v>
      </c>
      <c r="E8" s="261" t="s">
        <v>626</v>
      </c>
      <c r="F8" s="256" t="s">
        <v>627</v>
      </c>
      <c r="G8" s="489" t="s">
        <v>645</v>
      </c>
    </row>
    <row r="9" spans="1:7" ht="15.75">
      <c r="A9" s="136"/>
      <c r="D9" s="495" t="s">
        <v>603</v>
      </c>
      <c r="E9" s="495" t="s">
        <v>651</v>
      </c>
      <c r="F9" s="495" t="s">
        <v>708</v>
      </c>
      <c r="G9" s="495" t="s">
        <v>707</v>
      </c>
    </row>
    <row r="10" spans="4:7" s="490" customFormat="1" ht="15.75">
      <c r="D10" s="496"/>
      <c r="E10" s="493" t="s">
        <v>652</v>
      </c>
      <c r="F10" s="496" t="s">
        <v>644</v>
      </c>
      <c r="G10" s="496" t="s">
        <v>710</v>
      </c>
    </row>
    <row r="11" spans="4:7" s="490" customFormat="1" ht="15.75">
      <c r="D11" s="496"/>
      <c r="E11" s="491">
        <f>'Appendix C-RRCA'!C23</f>
        <v>2023</v>
      </c>
      <c r="F11" s="496" t="s">
        <v>709</v>
      </c>
      <c r="G11" s="496" t="s">
        <v>646</v>
      </c>
    </row>
    <row r="12" spans="4:7" s="490" customFormat="1" ht="15.75">
      <c r="D12" s="496"/>
      <c r="E12" s="545"/>
      <c r="F12" s="496"/>
      <c r="G12" s="490" t="s">
        <v>650</v>
      </c>
    </row>
    <row r="13" spans="2:7" s="490" customFormat="1" ht="15.75">
      <c r="B13" s="741"/>
      <c r="E13" s="493" t="s">
        <v>548</v>
      </c>
      <c r="G13" s="741" t="s">
        <v>551</v>
      </c>
    </row>
    <row r="14" spans="1:17" ht="15.6" customHeight="1">
      <c r="A14" s="767">
        <v>1</v>
      </c>
      <c r="B14" s="197" t="s">
        <v>647</v>
      </c>
      <c r="C14" s="768" t="s">
        <v>364</v>
      </c>
      <c r="D14" s="197" t="s">
        <v>839</v>
      </c>
      <c r="E14" s="598">
        <f>SUM(E15:E17)</f>
        <v>894535.43486304325</v>
      </c>
      <c r="F14" s="492">
        <f>'Attachment H-21-A ATSI '!$D$170</f>
        <v>1.2858298608334509</v>
      </c>
      <c r="G14" s="575">
        <f>E14*F14</f>
        <v>1150220.3737205374</v>
      </c>
      <c r="H14" s="839"/>
      <c r="I14" s="839"/>
      <c r="J14" s="839"/>
      <c r="K14" s="839"/>
      <c r="L14" s="839"/>
      <c r="M14" s="839"/>
      <c r="N14" s="839"/>
      <c r="O14" s="839"/>
      <c r="P14" s="839"/>
      <c r="Q14" s="839"/>
    </row>
    <row r="15" spans="1:17" ht="15.6" customHeight="1">
      <c r="A15" s="767" t="s">
        <v>9</v>
      </c>
      <c r="B15" s="197" t="s">
        <v>758</v>
      </c>
      <c r="C15" s="768" t="s">
        <v>378</v>
      </c>
      <c r="D15" s="197" t="s">
        <v>605</v>
      </c>
      <c r="E15" s="619">
        <v>890923.85459848866</v>
      </c>
      <c r="F15" s="769" t="s">
        <v>699</v>
      </c>
      <c r="G15" s="770" t="s">
        <v>699</v>
      </c>
      <c r="H15" s="839"/>
      <c r="I15" s="839"/>
      <c r="J15" s="839"/>
      <c r="K15" s="839"/>
      <c r="L15" s="839"/>
      <c r="M15" s="839"/>
      <c r="N15" s="839"/>
      <c r="O15" s="839"/>
      <c r="P15" s="839"/>
      <c r="Q15" s="839"/>
    </row>
    <row r="16" spans="1:17" ht="15.6" customHeight="1">
      <c r="A16" s="767" t="s">
        <v>268</v>
      </c>
      <c r="B16" s="197" t="s">
        <v>760</v>
      </c>
      <c r="C16" s="768" t="s">
        <v>378</v>
      </c>
      <c r="D16" s="197" t="s">
        <v>605</v>
      </c>
      <c r="E16" s="619">
        <v>660.87450769500947</v>
      </c>
      <c r="F16" s="769" t="s">
        <v>699</v>
      </c>
      <c r="G16" s="770" t="s">
        <v>699</v>
      </c>
      <c r="H16" s="839"/>
      <c r="I16" s="839"/>
      <c r="J16" s="839"/>
      <c r="K16" s="839"/>
      <c r="L16" s="839"/>
      <c r="M16" s="839"/>
      <c r="N16" s="839"/>
      <c r="O16" s="839"/>
      <c r="P16" s="839"/>
      <c r="Q16" s="839"/>
    </row>
    <row r="17" spans="1:17" ht="15.6" customHeight="1">
      <c r="A17" s="767" t="s">
        <v>269</v>
      </c>
      <c r="B17" s="197" t="s">
        <v>761</v>
      </c>
      <c r="C17" s="768" t="s">
        <v>378</v>
      </c>
      <c r="D17" s="197" t="s">
        <v>605</v>
      </c>
      <c r="E17" s="619">
        <v>2950.7057568595883</v>
      </c>
      <c r="F17" s="769" t="s">
        <v>699</v>
      </c>
      <c r="G17" s="770" t="s">
        <v>699</v>
      </c>
      <c r="H17" s="839"/>
      <c r="I17" s="839"/>
      <c r="J17" s="839"/>
      <c r="K17" s="839"/>
      <c r="L17" s="839"/>
      <c r="M17" s="839"/>
      <c r="N17" s="839"/>
      <c r="O17" s="839"/>
      <c r="P17" s="839"/>
      <c r="Q17" s="839"/>
    </row>
    <row r="18" spans="1:17" ht="15.75">
      <c r="A18" s="767">
        <v>2</v>
      </c>
      <c r="B18" s="197" t="s">
        <v>628</v>
      </c>
      <c r="C18" s="768" t="s">
        <v>507</v>
      </c>
      <c r="D18" s="197" t="s">
        <v>698</v>
      </c>
      <c r="E18" s="619">
        <f>'Appendix G(1) - Excess_Def ADIT'!H58</f>
        <v>-4003777.829110343</v>
      </c>
      <c r="F18" s="567" t="s">
        <v>699</v>
      </c>
      <c r="G18" s="620" t="s">
        <v>699</v>
      </c>
      <c r="H18" s="839"/>
      <c r="I18" s="839"/>
      <c r="J18" s="839"/>
      <c r="K18" s="839"/>
      <c r="L18" s="839"/>
      <c r="M18" s="839"/>
      <c r="N18" s="839"/>
      <c r="O18" s="839"/>
      <c r="P18" s="839"/>
      <c r="Q18" s="839"/>
    </row>
    <row r="19" spans="1:17" ht="15.75">
      <c r="A19" s="767">
        <v>3</v>
      </c>
      <c r="B19" s="197" t="s">
        <v>629</v>
      </c>
      <c r="C19" s="768" t="s">
        <v>507</v>
      </c>
      <c r="D19" s="197" t="s">
        <v>698</v>
      </c>
      <c r="E19" s="619">
        <v>0</v>
      </c>
      <c r="F19" s="567" t="s">
        <v>699</v>
      </c>
      <c r="G19" s="620" t="s">
        <v>699</v>
      </c>
      <c r="H19" s="839"/>
      <c r="I19" s="839"/>
      <c r="J19" s="839"/>
      <c r="K19" s="839"/>
      <c r="L19" s="839"/>
      <c r="M19" s="839"/>
      <c r="N19" s="839"/>
      <c r="O19" s="839"/>
      <c r="P19" s="839"/>
      <c r="Q19" s="839"/>
    </row>
    <row r="22" spans="5:6" ht="15.75">
      <c r="E22" s="783"/>
      <c r="F22" s="783"/>
    </row>
    <row r="23" spans="1:1" ht="15.75">
      <c r="A23" s="1" t="s">
        <v>365</v>
      </c>
    </row>
    <row r="24" spans="1:7" ht="34.35" customHeight="1">
      <c r="A24" s="771" t="s">
        <v>364</v>
      </c>
      <c r="B24" s="837" t="s">
        <v>759</v>
      </c>
      <c r="C24" s="837"/>
      <c r="D24" s="837"/>
      <c r="E24" s="837"/>
      <c r="F24" s="837"/>
      <c r="G24" s="837"/>
    </row>
    <row r="25" spans="1:7" ht="66" customHeight="1">
      <c r="A25" s="771" t="s">
        <v>378</v>
      </c>
      <c r="B25" s="837" t="s">
        <v>845</v>
      </c>
      <c r="C25" s="837"/>
      <c r="D25" s="837"/>
      <c r="E25" s="837"/>
      <c r="F25" s="837"/>
      <c r="G25" s="837"/>
    </row>
    <row r="26" spans="1:7" ht="65.45" customHeight="1">
      <c r="A26" s="260" t="s">
        <v>507</v>
      </c>
      <c r="B26" s="838" t="s">
        <v>756</v>
      </c>
      <c r="C26" s="838"/>
      <c r="D26" s="838"/>
      <c r="E26" s="838"/>
      <c r="F26" s="838"/>
      <c r="G26" s="838"/>
    </row>
    <row r="27" spans="1:7" ht="15.75">
      <c r="A27" s="260" t="s">
        <v>548</v>
      </c>
      <c r="B27" s="838" t="s">
        <v>701</v>
      </c>
      <c r="C27" s="838"/>
      <c r="D27" s="838"/>
      <c r="E27" s="838"/>
      <c r="F27" s="838"/>
      <c r="G27" s="838"/>
    </row>
    <row r="28" spans="1:7" ht="15.75">
      <c r="A28" s="260" t="s">
        <v>551</v>
      </c>
      <c r="B28" s="838" t="s">
        <v>702</v>
      </c>
      <c r="C28" s="838"/>
      <c r="D28" s="838"/>
      <c r="E28" s="838"/>
      <c r="F28" s="838"/>
      <c r="G28" s="838"/>
    </row>
  </sheetData>
  <mergeCells count="8">
    <mergeCell ref="B24:G24"/>
    <mergeCell ref="B28:G28"/>
    <mergeCell ref="H14:Q19"/>
    <mergeCell ref="B27:G27"/>
    <mergeCell ref="B5:F5"/>
    <mergeCell ref="B6:F6"/>
    <mergeCell ref="B25:G25"/>
    <mergeCell ref="B26:G26"/>
  </mergeCells>
  <pageMargins left="0.7" right="0.7" top="0.75" bottom="0.75" header="0.3" footer="0.3"/>
  <pageSetup orientation="portrait"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3349-E32D-40A8-BCC2-2536F5A49C74}">
  <sheetPr codeName="Sheet21">
    <pageSetUpPr fitToPage="1"/>
  </sheetPr>
  <dimension ref="A1:L78"/>
  <sheetViews>
    <sheetView view="pageBreakPreview" zoomScale="90" zoomScaleNormal="70" zoomScaleSheetLayoutView="90" workbookViewId="0" topLeftCell="A1">
      <selection pane="topLeft" activeCell="E7" sqref="E7"/>
    </sheetView>
  </sheetViews>
  <sheetFormatPr defaultColWidth="7.21555555555556" defaultRowHeight="15"/>
  <cols>
    <col min="1" max="1" width="4.44444444444444" style="504" customWidth="1"/>
    <col min="2" max="2" width="59" style="504" customWidth="1"/>
    <col min="3" max="3" width="7.22222222222222" style="504"/>
    <col min="4" max="10" width="15.8888888888889" style="504" customWidth="1"/>
    <col min="11" max="16384" width="7.22222222222222" style="504"/>
  </cols>
  <sheetData>
    <row r="1" spans="1:10" ht="15.75">
      <c r="A1" s="612"/>
      <c r="B1" s="612"/>
      <c r="C1" s="612"/>
      <c r="D1" s="612"/>
      <c r="J1" s="4" t="s">
        <v>704</v>
      </c>
    </row>
    <row r="2" spans="1:10" ht="15.75">
      <c r="A2" s="612"/>
      <c r="B2" s="612"/>
      <c r="C2" s="612"/>
      <c r="D2" s="612"/>
      <c r="J2" s="4" t="s">
        <v>276</v>
      </c>
    </row>
    <row r="3" spans="1:10" ht="15.75">
      <c r="A3" s="612"/>
      <c r="B3" s="612"/>
      <c r="C3" s="612"/>
      <c r="D3" s="612"/>
      <c r="E3" s="505"/>
      <c r="G3" s="506"/>
      <c r="H3" s="507"/>
      <c r="I3" s="508"/>
      <c r="J3" s="7" t="str">
        <f>'Attachment H-21-A ATSI '!K4</f>
        <v>For the 12 months ended 12/31/2023</v>
      </c>
    </row>
    <row r="4" spans="1:10" ht="15.75">
      <c r="A4" s="537"/>
      <c r="B4" s="505"/>
      <c r="C4" s="505"/>
      <c r="D4" s="505"/>
      <c r="E4" s="505"/>
      <c r="G4" s="506"/>
      <c r="H4" s="507"/>
      <c r="I4" s="508"/>
      <c r="J4" s="7"/>
    </row>
    <row r="5" spans="2:10" ht="15.75">
      <c r="B5" s="840" t="s">
        <v>692</v>
      </c>
      <c r="C5" s="840"/>
      <c r="D5" s="840"/>
      <c r="E5" s="840"/>
      <c r="F5" s="840"/>
      <c r="G5" s="840"/>
      <c r="H5" s="840"/>
      <c r="I5" s="840"/>
      <c r="J5" s="549"/>
    </row>
    <row r="6" spans="2:10" ht="15.75">
      <c r="B6" s="841" t="s">
        <v>313</v>
      </c>
      <c r="C6" s="841"/>
      <c r="D6" s="841"/>
      <c r="E6" s="841"/>
      <c r="F6" s="841"/>
      <c r="G6" s="841"/>
      <c r="H6" s="841"/>
      <c r="I6" s="841"/>
      <c r="J6" s="1"/>
    </row>
    <row r="7" spans="2:3" ht="15">
      <c r="B7" s="509"/>
      <c r="C7" s="509"/>
    </row>
    <row r="8" spans="2:10" ht="15">
      <c r="B8" s="510" t="s">
        <v>654</v>
      </c>
      <c r="C8" s="509"/>
      <c r="D8" s="510" t="s">
        <v>655</v>
      </c>
      <c r="E8" s="510" t="s">
        <v>656</v>
      </c>
      <c r="F8" s="510" t="s">
        <v>657</v>
      </c>
      <c r="G8" s="510" t="s">
        <v>658</v>
      </c>
      <c r="H8" s="510" t="s">
        <v>659</v>
      </c>
      <c r="I8" s="510" t="s">
        <v>660</v>
      </c>
      <c r="J8" s="510" t="s">
        <v>661</v>
      </c>
    </row>
    <row r="9" spans="2:3" ht="15">
      <c r="B9" s="509"/>
      <c r="C9" s="509"/>
    </row>
    <row r="10" spans="1:10" ht="112.35" customHeight="1">
      <c r="A10" s="511" t="s">
        <v>256</v>
      </c>
      <c r="B10" s="511" t="s">
        <v>662</v>
      </c>
      <c r="D10" s="511" t="s">
        <v>663</v>
      </c>
      <c r="E10" s="511" t="s">
        <v>664</v>
      </c>
      <c r="F10" s="511" t="s">
        <v>665</v>
      </c>
      <c r="G10" s="511" t="s">
        <v>666</v>
      </c>
      <c r="H10" s="511" t="s">
        <v>667</v>
      </c>
      <c r="I10" s="511" t="s">
        <v>668</v>
      </c>
      <c r="J10" s="511" t="s">
        <v>669</v>
      </c>
    </row>
    <row r="11" spans="1:10" ht="15.75">
      <c r="A11" s="512"/>
      <c r="B11" s="513" t="s">
        <v>670</v>
      </c>
      <c r="D11" s="512"/>
      <c r="E11" s="512"/>
      <c r="F11" s="512"/>
      <c r="G11" s="512"/>
      <c r="H11" s="512"/>
      <c r="I11" s="512"/>
      <c r="J11" s="512"/>
    </row>
    <row r="12" spans="1:10" ht="15.75">
      <c r="A12" s="514">
        <v>1</v>
      </c>
      <c r="B12" s="513" t="s">
        <v>671</v>
      </c>
      <c r="D12" s="512"/>
      <c r="E12" s="512"/>
      <c r="F12" s="512"/>
      <c r="G12" s="512"/>
      <c r="H12" s="512"/>
      <c r="J12" s="512"/>
    </row>
    <row r="13" spans="1:10" ht="14.45" customHeight="1">
      <c r="A13" s="794" t="s">
        <v>9</v>
      </c>
      <c r="B13" s="795" t="s">
        <v>928</v>
      </c>
      <c r="D13" s="516">
        <v>27759265.590000004</v>
      </c>
      <c r="E13" s="516"/>
      <c r="F13" s="516">
        <v>20</v>
      </c>
      <c r="G13" s="516">
        <v>14</v>
      </c>
      <c r="H13" s="516">
        <v>1850617.7</v>
      </c>
      <c r="I13" s="517">
        <f>(D13+E13)-H13</f>
        <v>25908647.890000004</v>
      </c>
      <c r="J13" s="794" t="s">
        <v>161</v>
      </c>
    </row>
    <row r="14" spans="1:10" ht="14.45" customHeight="1">
      <c r="A14" s="794" t="s">
        <v>268</v>
      </c>
      <c r="B14" s="795" t="s">
        <v>929</v>
      </c>
      <c r="D14" s="516">
        <v>34860.5</v>
      </c>
      <c r="E14" s="516"/>
      <c r="F14" s="516">
        <v>20</v>
      </c>
      <c r="G14" s="516">
        <v>14</v>
      </c>
      <c r="H14" s="516">
        <v>2324.04</v>
      </c>
      <c r="I14" s="517">
        <f t="shared" si="0" ref="I14:I21">(D14+E14)-H14</f>
        <v>32536.459999999999</v>
      </c>
      <c r="J14" s="515" t="s">
        <v>158</v>
      </c>
    </row>
    <row r="15" spans="1:10" ht="14.45" customHeight="1">
      <c r="A15" s="794" t="s">
        <v>269</v>
      </c>
      <c r="B15" s="795" t="s">
        <v>930</v>
      </c>
      <c r="D15" s="516">
        <v>342144.50823529408</v>
      </c>
      <c r="E15" s="516"/>
      <c r="F15" s="516">
        <v>17</v>
      </c>
      <c r="G15" s="516">
        <v>11</v>
      </c>
      <c r="H15" s="516">
        <v>28512.042352941175</v>
      </c>
      <c r="I15" s="517">
        <f>(D15+E15)-H15</f>
        <v>313632.4658823529</v>
      </c>
      <c r="J15" s="515" t="s">
        <v>158</v>
      </c>
    </row>
    <row r="16" spans="1:10" ht="14.45" customHeight="1">
      <c r="A16" s="794" t="s">
        <v>717</v>
      </c>
      <c r="B16" s="795" t="s">
        <v>921</v>
      </c>
      <c r="D16" s="516">
        <v>628.74992905079853</v>
      </c>
      <c r="E16" s="516"/>
      <c r="F16" s="516">
        <v>12</v>
      </c>
      <c r="G16" s="516">
        <v>11</v>
      </c>
      <c r="H16" s="516">
        <v>52.395827420899877</v>
      </c>
      <c r="I16" s="517">
        <f>(D16+E16)-H16</f>
        <v>576.35410162989865</v>
      </c>
      <c r="J16" s="794" t="s">
        <v>158</v>
      </c>
    </row>
    <row r="17" spans="1:10" ht="14.45" customHeight="1">
      <c r="A17" s="794" t="s">
        <v>718</v>
      </c>
      <c r="B17" s="795" t="s">
        <v>931</v>
      </c>
      <c r="D17" s="516">
        <v>0</v>
      </c>
      <c r="E17" s="516"/>
      <c r="F17" s="516">
        <v>5</v>
      </c>
      <c r="G17" s="516">
        <v>0</v>
      </c>
      <c r="H17" s="516">
        <v>0</v>
      </c>
      <c r="I17" s="517">
        <f t="shared" si="0"/>
        <v>0</v>
      </c>
      <c r="J17" s="515" t="s">
        <v>158</v>
      </c>
    </row>
    <row r="18" spans="1:10" ht="14.45" customHeight="1">
      <c r="A18" s="794" t="s">
        <v>719</v>
      </c>
      <c r="B18" s="795" t="s">
        <v>932</v>
      </c>
      <c r="D18" s="516">
        <v>-138381.36750000002</v>
      </c>
      <c r="E18" s="516"/>
      <c r="F18" s="516">
        <v>20</v>
      </c>
      <c r="G18" s="516">
        <v>14</v>
      </c>
      <c r="H18" s="516">
        <v>-9225.4244999999992</v>
      </c>
      <c r="I18" s="517">
        <f t="shared" si="0"/>
        <v>-129155.94300000003</v>
      </c>
      <c r="J18" s="515" t="s">
        <v>158</v>
      </c>
    </row>
    <row r="19" spans="1:10" ht="14.45" customHeight="1">
      <c r="A19" s="794" t="s">
        <v>720</v>
      </c>
      <c r="B19" s="795" t="s">
        <v>922</v>
      </c>
      <c r="D19" s="516">
        <v>74076.691695889924</v>
      </c>
      <c r="E19" s="516"/>
      <c r="F19" s="516">
        <v>3</v>
      </c>
      <c r="G19" s="516">
        <v>2</v>
      </c>
      <c r="H19" s="516">
        <v>24692.230565296642</v>
      </c>
      <c r="I19" s="517">
        <f t="shared" si="0"/>
        <v>49384.461130593278</v>
      </c>
      <c r="J19" s="794" t="s">
        <v>158</v>
      </c>
    </row>
    <row r="20" spans="1:10" ht="14.45" customHeight="1">
      <c r="A20" s="794" t="s">
        <v>721</v>
      </c>
      <c r="B20" s="795" t="s">
        <v>933</v>
      </c>
      <c r="D20" s="516">
        <v>-752.82000000000005</v>
      </c>
      <c r="E20" s="516"/>
      <c r="F20" s="516">
        <v>20</v>
      </c>
      <c r="G20" s="516">
        <v>14</v>
      </c>
      <c r="H20" s="516">
        <v>-50.188000000000002</v>
      </c>
      <c r="I20" s="517">
        <f t="shared" si="0"/>
        <v>-702.63200000000006</v>
      </c>
      <c r="J20" s="515" t="s">
        <v>158</v>
      </c>
    </row>
    <row r="21" spans="1:10" ht="14.45" customHeight="1">
      <c r="A21" s="794" t="s">
        <v>747</v>
      </c>
      <c r="B21" s="795" t="s">
        <v>934</v>
      </c>
      <c r="D21" s="516">
        <v>3422528.3442424238</v>
      </c>
      <c r="E21" s="516"/>
      <c r="F21" s="516">
        <v>33</v>
      </c>
      <c r="G21" s="516">
        <v>27</v>
      </c>
      <c r="H21" s="516">
        <v>122233.15515151515</v>
      </c>
      <c r="I21" s="517">
        <f t="shared" si="0"/>
        <v>3300295.1890909085</v>
      </c>
      <c r="J21" s="515" t="s">
        <v>158</v>
      </c>
    </row>
    <row r="22" spans="1:10" ht="14.45" customHeight="1">
      <c r="A22" s="794" t="s">
        <v>748</v>
      </c>
      <c r="B22" s="795" t="s">
        <v>935</v>
      </c>
      <c r="D22" s="516">
        <v>-14679.641666666665</v>
      </c>
      <c r="E22" s="516"/>
      <c r="F22" s="516">
        <v>30</v>
      </c>
      <c r="G22" s="516">
        <v>24</v>
      </c>
      <c r="H22" s="516">
        <v>-587.18566666666663</v>
      </c>
      <c r="I22" s="517">
        <f>(D22+E22)-H22</f>
        <v>-14092.455999999998</v>
      </c>
      <c r="J22" s="515" t="s">
        <v>158</v>
      </c>
    </row>
    <row r="23" spans="1:10" s="621" customFormat="1" ht="14.45" customHeight="1">
      <c r="A23" s="530"/>
      <c r="B23" s="504"/>
      <c r="C23" s="504"/>
      <c r="D23" s="622"/>
      <c r="E23" s="622"/>
      <c r="F23" s="622"/>
      <c r="G23" s="622"/>
      <c r="H23" s="622"/>
      <c r="I23" s="517"/>
      <c r="J23" s="530"/>
    </row>
    <row r="24" spans="1:10" ht="15.75">
      <c r="A24" s="514">
        <v>2</v>
      </c>
      <c r="B24" s="513" t="s">
        <v>672</v>
      </c>
      <c r="D24" s="512"/>
      <c r="E24" s="512"/>
      <c r="F24" s="512"/>
      <c r="G24" s="512"/>
      <c r="H24" s="512"/>
      <c r="J24" s="512"/>
    </row>
    <row r="25" spans="1:10" ht="14.45" customHeight="1">
      <c r="A25" s="515" t="s">
        <v>329</v>
      </c>
      <c r="B25" s="626" t="s">
        <v>871</v>
      </c>
      <c r="D25" s="516"/>
      <c r="E25" s="516"/>
      <c r="F25" s="516"/>
      <c r="G25" s="516"/>
      <c r="H25" s="516"/>
      <c r="I25" s="517">
        <f>(D25+E25)-H25</f>
        <v>0</v>
      </c>
      <c r="J25" s="515" t="s">
        <v>870</v>
      </c>
    </row>
    <row r="26" spans="1:10" s="0" customFormat="1" ht="14.45" customHeight="1">
      <c r="A26" s="627"/>
      <c r="B26" s="627"/>
      <c r="C26" s="627"/>
      <c r="D26" s="627"/>
      <c r="E26" s="627"/>
      <c r="F26" s="627"/>
      <c r="G26" s="627"/>
      <c r="H26" s="627"/>
      <c r="I26" s="627"/>
      <c r="J26" s="627"/>
    </row>
    <row r="27" spans="1:10" ht="15.75">
      <c r="A27" s="514">
        <v>3</v>
      </c>
      <c r="B27" s="513" t="s">
        <v>673</v>
      </c>
      <c r="D27" s="512"/>
      <c r="E27" s="512"/>
      <c r="F27" s="512"/>
      <c r="G27" s="512"/>
      <c r="H27" s="512"/>
      <c r="J27" s="512"/>
    </row>
    <row r="28" spans="1:10" ht="15">
      <c r="A28" s="794" t="s">
        <v>912</v>
      </c>
      <c r="B28" s="795" t="s">
        <v>923</v>
      </c>
      <c r="D28" s="516">
        <v>-455.98937049429514</v>
      </c>
      <c r="E28" s="516"/>
      <c r="F28" s="516">
        <v>2</v>
      </c>
      <c r="G28" s="516">
        <v>1</v>
      </c>
      <c r="H28" s="516">
        <v>-227.99468524714757</v>
      </c>
      <c r="I28" s="782">
        <f t="shared" si="1" ref="I28:I29">(D28+E28)-H28</f>
        <v>-227.99468524714757</v>
      </c>
      <c r="J28" s="794" t="s">
        <v>158</v>
      </c>
    </row>
    <row r="29" spans="1:10" ht="15">
      <c r="A29" s="794" t="s">
        <v>913</v>
      </c>
      <c r="B29" s="795" t="s">
        <v>924</v>
      </c>
      <c r="D29" s="516">
        <v>-625.92179442106863</v>
      </c>
      <c r="E29" s="516"/>
      <c r="F29" s="516">
        <v>2</v>
      </c>
      <c r="G29" s="516">
        <v>1</v>
      </c>
      <c r="H29" s="516">
        <v>-312.96089721053431</v>
      </c>
      <c r="I29" s="782">
        <f t="shared" si="1"/>
        <v>-312.96089721053431</v>
      </c>
      <c r="J29" s="794" t="s">
        <v>158</v>
      </c>
    </row>
    <row r="30" spans="1:10" ht="14.45" customHeight="1">
      <c r="A30" s="794" t="s">
        <v>914</v>
      </c>
      <c r="B30" s="795" t="s">
        <v>936</v>
      </c>
      <c r="D30" s="516">
        <v>-2335457.4900000002</v>
      </c>
      <c r="E30" s="516"/>
      <c r="F30" s="516">
        <v>10</v>
      </c>
      <c r="G30" s="516">
        <v>4</v>
      </c>
      <c r="H30" s="516">
        <v>-467091.49800000002</v>
      </c>
      <c r="I30" s="782">
        <f>(D30+E30)-H30</f>
        <v>-1868365.9920000001</v>
      </c>
      <c r="J30" s="515" t="s">
        <v>158</v>
      </c>
    </row>
    <row r="31" spans="1:10" ht="14.45" customHeight="1">
      <c r="A31" s="794" t="s">
        <v>749</v>
      </c>
      <c r="B31" s="795" t="s">
        <v>925</v>
      </c>
      <c r="D31" s="516">
        <v>-21739.66088885162</v>
      </c>
      <c r="E31" s="516"/>
      <c r="F31" s="516">
        <v>8</v>
      </c>
      <c r="G31" s="516">
        <v>7</v>
      </c>
      <c r="H31" s="516">
        <v>-2717.4576111064525</v>
      </c>
      <c r="I31" s="782">
        <f>(D31+E31)-H31</f>
        <v>-19022.203277745168</v>
      </c>
      <c r="J31" s="515" t="s">
        <v>158</v>
      </c>
    </row>
    <row r="32" spans="1:10" ht="14.45" customHeight="1">
      <c r="A32" s="515" t="s">
        <v>750</v>
      </c>
      <c r="B32" s="795" t="s">
        <v>937</v>
      </c>
      <c r="D32" s="516">
        <v>10059.041666666664</v>
      </c>
      <c r="E32" s="516"/>
      <c r="F32" s="516">
        <v>30</v>
      </c>
      <c r="G32" s="516">
        <v>24</v>
      </c>
      <c r="H32" s="516">
        <v>402.36166666666668</v>
      </c>
      <c r="I32" s="782">
        <f t="shared" si="2" ref="I32:I38">(D32+E32)-H32</f>
        <v>9656.6799999999967</v>
      </c>
      <c r="J32" s="515" t="s">
        <v>158</v>
      </c>
    </row>
    <row r="33" spans="1:10" ht="14.45" customHeight="1">
      <c r="A33" s="515" t="s">
        <v>751</v>
      </c>
      <c r="B33" s="795" t="s">
        <v>938</v>
      </c>
      <c r="D33" s="516">
        <v>-25301.499999999993</v>
      </c>
      <c r="E33" s="516"/>
      <c r="F33" s="516">
        <v>10</v>
      </c>
      <c r="G33" s="516">
        <v>4</v>
      </c>
      <c r="H33" s="516">
        <v>-5060.3000000000002</v>
      </c>
      <c r="I33" s="782">
        <f>(D33+E33)-H33</f>
        <v>-20241.199999999993</v>
      </c>
      <c r="J33" s="515" t="s">
        <v>158</v>
      </c>
    </row>
    <row r="34" spans="1:10" ht="14.45" customHeight="1">
      <c r="A34" s="794" t="s">
        <v>915</v>
      </c>
      <c r="B34" s="795" t="s">
        <v>926</v>
      </c>
      <c r="D34" s="516">
        <v>-203.65005949388433</v>
      </c>
      <c r="E34" s="516"/>
      <c r="F34" s="516">
        <v>8</v>
      </c>
      <c r="G34" s="516">
        <v>7</v>
      </c>
      <c r="H34" s="516">
        <v>-25.456257436735541</v>
      </c>
      <c r="I34" s="782">
        <f>(D34+E34)-H34</f>
        <v>-178.19380205714879</v>
      </c>
      <c r="J34" s="515" t="s">
        <v>158</v>
      </c>
    </row>
    <row r="35" spans="1:10" ht="14.45" customHeight="1">
      <c r="A35" s="515" t="s">
        <v>752</v>
      </c>
      <c r="B35" s="795" t="s">
        <v>939</v>
      </c>
      <c r="D35" s="516">
        <v>752.82000000000005</v>
      </c>
      <c r="E35" s="516"/>
      <c r="F35" s="516">
        <v>20</v>
      </c>
      <c r="G35" s="516">
        <v>14</v>
      </c>
      <c r="H35" s="516">
        <v>50.188000000000002</v>
      </c>
      <c r="I35" s="782">
        <f t="shared" si="2"/>
        <v>702.63200000000006</v>
      </c>
      <c r="J35" s="515" t="s">
        <v>158</v>
      </c>
    </row>
    <row r="36" spans="1:10" ht="14.45" customHeight="1">
      <c r="A36" s="515" t="s">
        <v>753</v>
      </c>
      <c r="B36" s="795" t="s">
        <v>940</v>
      </c>
      <c r="D36" s="516">
        <v>458363.9800000001</v>
      </c>
      <c r="E36" s="516"/>
      <c r="F36" s="516">
        <v>10</v>
      </c>
      <c r="G36" s="516">
        <v>4</v>
      </c>
      <c r="H36" s="516">
        <v>91672.796000000002</v>
      </c>
      <c r="I36" s="782">
        <f t="shared" si="2"/>
        <v>366691.18400000012</v>
      </c>
      <c r="J36" s="515" t="s">
        <v>158</v>
      </c>
    </row>
    <row r="37" spans="1:10" ht="14.45" customHeight="1">
      <c r="A37" s="794" t="s">
        <v>916</v>
      </c>
      <c r="B37" s="795" t="s">
        <v>927</v>
      </c>
      <c r="D37" s="516">
        <v>-3945.8791855110321</v>
      </c>
      <c r="E37" s="516"/>
      <c r="F37" s="516">
        <v>8</v>
      </c>
      <c r="G37" s="516">
        <v>7</v>
      </c>
      <c r="H37" s="516">
        <v>-493.23489818887901</v>
      </c>
      <c r="I37" s="782">
        <f t="shared" si="2"/>
        <v>-3452.6442873221531</v>
      </c>
      <c r="J37" s="515" t="s">
        <v>158</v>
      </c>
    </row>
    <row r="38" spans="1:10" s="621" customFormat="1" ht="14.45" customHeight="1">
      <c r="A38" s="530"/>
      <c r="B38" s="504"/>
      <c r="C38" s="504"/>
      <c r="D38" s="622"/>
      <c r="E38" s="622"/>
      <c r="F38" s="622"/>
      <c r="G38" s="622"/>
      <c r="H38" s="622"/>
      <c r="I38" s="517">
        <f t="shared" si="2"/>
        <v>0</v>
      </c>
      <c r="J38" s="530"/>
    </row>
    <row r="39" spans="1:10" ht="14.45" customHeight="1">
      <c r="A39" s="515">
        <v>4</v>
      </c>
      <c r="B39" s="518" t="s">
        <v>674</v>
      </c>
      <c r="D39" s="519">
        <v>8449455.476223683</v>
      </c>
      <c r="E39" s="516">
        <v>-12180</v>
      </c>
      <c r="F39" s="516"/>
      <c r="G39" s="516"/>
      <c r="H39" s="516">
        <v>467264.71219755267</v>
      </c>
      <c r="I39" s="517">
        <f>(D39+E39)-H39</f>
        <v>7970010.7640261305</v>
      </c>
      <c r="J39" s="625"/>
    </row>
    <row r="40" spans="1:10" s="621" customFormat="1" ht="14.45" customHeight="1">
      <c r="A40" s="530"/>
      <c r="B40" s="628"/>
      <c r="C40" s="504"/>
      <c r="D40" s="624"/>
      <c r="E40" s="624"/>
      <c r="F40" s="622"/>
      <c r="G40" s="622"/>
      <c r="H40" s="624"/>
      <c r="I40" s="520"/>
      <c r="J40" s="530"/>
    </row>
    <row r="41" spans="1:9" ht="15.75">
      <c r="A41" s="515">
        <v>5</v>
      </c>
      <c r="B41" s="521" t="s">
        <v>675</v>
      </c>
      <c r="D41" s="522">
        <f>SUM(D13:D40)</f>
        <v>38010591.781527571</v>
      </c>
      <c r="E41" s="522">
        <f>SUM(E13:E40)</f>
        <v>-12180</v>
      </c>
      <c r="F41" s="523"/>
      <c r="G41" s="523"/>
      <c r="H41" s="522">
        <f>SUM(H13:H40)</f>
        <v>2102029.9212455377</v>
      </c>
      <c r="I41" s="522">
        <f>SUM(I13:I40)</f>
        <v>35896381.860282034</v>
      </c>
    </row>
    <row r="42" spans="2:8" ht="15.75">
      <c r="B42" s="524"/>
      <c r="D42" s="523"/>
      <c r="E42" s="522"/>
      <c r="F42" s="523"/>
      <c r="G42" s="523"/>
      <c r="H42" s="522"/>
    </row>
    <row r="43" spans="1:10" ht="112.5" customHeight="1">
      <c r="A43" s="511" t="s">
        <v>256</v>
      </c>
      <c r="B43" s="511" t="s">
        <v>662</v>
      </c>
      <c r="D43" s="511" t="s">
        <v>676</v>
      </c>
      <c r="E43" s="511" t="s">
        <v>664</v>
      </c>
      <c r="F43" s="511" t="s">
        <v>665</v>
      </c>
      <c r="G43" s="511" t="s">
        <v>666</v>
      </c>
      <c r="H43" s="511" t="s">
        <v>667</v>
      </c>
      <c r="I43" s="511" t="s">
        <v>668</v>
      </c>
      <c r="J43" s="511" t="s">
        <v>669</v>
      </c>
    </row>
    <row r="44" spans="1:10" ht="15.75">
      <c r="A44" s="512"/>
      <c r="B44" s="513" t="s">
        <v>677</v>
      </c>
      <c r="D44" s="512"/>
      <c r="E44" s="512"/>
      <c r="F44" s="512"/>
      <c r="G44" s="512"/>
      <c r="H44" s="512"/>
      <c r="I44" s="512"/>
      <c r="J44" s="512"/>
    </row>
    <row r="45" spans="1:10" ht="15.75">
      <c r="A45" s="515">
        <f>A41+1</f>
        <v>6</v>
      </c>
      <c r="B45" s="797" t="s">
        <v>941</v>
      </c>
      <c r="C45" s="621"/>
      <c r="D45" s="516">
        <f>5159170</f>
        <v>5159170</v>
      </c>
      <c r="E45" s="516"/>
      <c r="F45" s="525" t="s">
        <v>678</v>
      </c>
      <c r="G45" s="791" t="s">
        <v>678</v>
      </c>
      <c r="H45" s="516">
        <v>780546</v>
      </c>
      <c r="I45" s="517">
        <f>(D45+E45)-H45</f>
        <v>4378624</v>
      </c>
      <c r="J45" s="779" t="s">
        <v>875</v>
      </c>
    </row>
    <row r="46" spans="1:10" ht="15.75">
      <c r="A46" s="515">
        <v>7</v>
      </c>
      <c r="B46" s="797" t="s">
        <v>942</v>
      </c>
      <c r="C46" s="621"/>
      <c r="D46" s="516">
        <v>-297533769</v>
      </c>
      <c r="E46" s="516"/>
      <c r="F46" s="525" t="s">
        <v>678</v>
      </c>
      <c r="G46" s="791" t="s">
        <v>678</v>
      </c>
      <c r="H46" s="516">
        <v>-5482470</v>
      </c>
      <c r="I46" s="517">
        <f>(D46+E46)-H46</f>
        <v>-292051299</v>
      </c>
      <c r="J46" s="779" t="s">
        <v>875</v>
      </c>
    </row>
    <row r="47" spans="1:10" ht="15.75">
      <c r="A47" s="801" t="s">
        <v>917</v>
      </c>
      <c r="B47" s="504" t="s">
        <v>918</v>
      </c>
      <c r="C47" s="621"/>
      <c r="D47" s="516">
        <v>1841525.3760976219</v>
      </c>
      <c r="E47" s="516"/>
      <c r="F47" s="525" t="s">
        <v>678</v>
      </c>
      <c r="G47" s="525" t="s">
        <v>678</v>
      </c>
      <c r="H47" s="516">
        <v>109340.32052395908</v>
      </c>
      <c r="I47" s="517">
        <f>(D47+E47)-H47</f>
        <v>1732185.0555736627</v>
      </c>
      <c r="J47" s="794" t="s">
        <v>158</v>
      </c>
    </row>
    <row r="48" spans="1:10" ht="15.75">
      <c r="A48" s="794" t="s">
        <v>919</v>
      </c>
      <c r="B48" s="504" t="s">
        <v>920</v>
      </c>
      <c r="C48" s="621"/>
      <c r="D48" s="516">
        <v>-640960.24996459065</v>
      </c>
      <c r="E48" s="516"/>
      <c r="F48" s="525">
        <v>10</v>
      </c>
      <c r="G48" s="525">
        <v>4</v>
      </c>
      <c r="H48" s="516">
        <v>-128192.04999291812</v>
      </c>
      <c r="I48" s="517">
        <f>(D48+E48)-H48</f>
        <v>-512768.1999716725</v>
      </c>
      <c r="J48" s="794" t="s">
        <v>158</v>
      </c>
    </row>
    <row r="49" spans="1:10" ht="15.75">
      <c r="A49" s="515">
        <v>8</v>
      </c>
      <c r="B49" s="797" t="s">
        <v>944</v>
      </c>
      <c r="C49" s="621"/>
      <c r="D49" s="516">
        <v>46254</v>
      </c>
      <c r="E49" s="516"/>
      <c r="F49" s="525" t="s">
        <v>678</v>
      </c>
      <c r="G49" s="525" t="s">
        <v>678</v>
      </c>
      <c r="H49" s="516">
        <v>4810</v>
      </c>
      <c r="I49" s="517">
        <f t="shared" si="3" ref="I49:I50">(D49+E49)-H49</f>
        <v>41444</v>
      </c>
      <c r="J49" s="779" t="s">
        <v>875</v>
      </c>
    </row>
    <row r="50" spans="1:10" ht="15.75">
      <c r="A50" s="515">
        <v>9</v>
      </c>
      <c r="B50" s="797" t="s">
        <v>945</v>
      </c>
      <c r="C50" s="621"/>
      <c r="D50" s="516">
        <v>-1190342</v>
      </c>
      <c r="E50" s="516"/>
      <c r="F50" s="525" t="s">
        <v>678</v>
      </c>
      <c r="G50" s="525" t="s">
        <v>678</v>
      </c>
      <c r="H50" s="516">
        <v>-32569</v>
      </c>
      <c r="I50" s="517">
        <f t="shared" si="3"/>
        <v>-1157773</v>
      </c>
      <c r="J50" s="779" t="s">
        <v>875</v>
      </c>
    </row>
    <row r="51" spans="1:10" ht="15.75">
      <c r="A51" s="515">
        <v>10</v>
      </c>
      <c r="B51" s="797" t="s">
        <v>943</v>
      </c>
      <c r="C51" s="621"/>
      <c r="D51" s="526">
        <v>0</v>
      </c>
      <c r="E51" s="526"/>
      <c r="F51" s="525" t="s">
        <v>678</v>
      </c>
      <c r="G51" s="791" t="s">
        <v>678</v>
      </c>
      <c r="H51" s="526"/>
      <c r="I51" s="517">
        <f t="shared" si="4" ref="I51:I52">(D51+E51)-H51</f>
        <v>0</v>
      </c>
      <c r="J51" s="779" t="s">
        <v>875</v>
      </c>
    </row>
    <row r="52" spans="1:10" ht="15.75">
      <c r="A52" s="515">
        <v>11</v>
      </c>
      <c r="B52" s="797" t="s">
        <v>946</v>
      </c>
      <c r="C52" s="621"/>
      <c r="D52" s="526"/>
      <c r="E52" s="526"/>
      <c r="F52" s="525" t="s">
        <v>678</v>
      </c>
      <c r="G52" s="525" t="s">
        <v>678</v>
      </c>
      <c r="H52" s="526"/>
      <c r="I52" s="517">
        <f t="shared" si="4"/>
        <v>0</v>
      </c>
      <c r="J52" s="779" t="s">
        <v>875</v>
      </c>
    </row>
    <row r="53" spans="1:10" ht="15.75">
      <c r="A53" s="515">
        <v>12</v>
      </c>
      <c r="B53" s="629" t="s">
        <v>703</v>
      </c>
      <c r="C53" s="621"/>
      <c r="D53" s="519">
        <v>-83553248.094303131</v>
      </c>
      <c r="E53" s="519"/>
      <c r="F53" s="525"/>
      <c r="G53" s="791"/>
      <c r="H53" s="519">
        <v>-1357273.0208869213</v>
      </c>
      <c r="I53" s="520">
        <f>(D53+E53)-H53</f>
        <v>-82195975.073416203</v>
      </c>
      <c r="J53" s="515"/>
    </row>
    <row r="54" spans="1:10" ht="15.75">
      <c r="A54" s="515">
        <v>13</v>
      </c>
      <c r="B54" s="521" t="s">
        <v>947</v>
      </c>
      <c r="D54" s="529">
        <f>SUM(D45:D53)</f>
        <v>-375871369.96817011</v>
      </c>
      <c r="E54" s="529"/>
      <c r="F54" s="623"/>
      <c r="G54" s="623"/>
      <c r="H54" s="529">
        <f>SUM(H45:H53)</f>
        <v>-6105807.7503558807</v>
      </c>
      <c r="I54" s="529">
        <f>SUM(I45:I53)</f>
        <v>-369765562.21781421</v>
      </c>
      <c r="J54" s="530"/>
    </row>
    <row r="55" spans="1:10" ht="15.75">
      <c r="A55" s="530"/>
      <c r="B55" s="524"/>
      <c r="D55" s="796"/>
      <c r="E55" s="527"/>
      <c r="F55" s="523"/>
      <c r="G55" s="523"/>
      <c r="H55" s="528"/>
      <c r="I55" s="781"/>
      <c r="J55" s="530"/>
    </row>
    <row r="56" spans="1:10" ht="15.75">
      <c r="A56" s="515">
        <v>14</v>
      </c>
      <c r="B56" s="524" t="s">
        <v>679</v>
      </c>
      <c r="D56" s="527"/>
      <c r="E56" s="527"/>
      <c r="F56" s="523"/>
      <c r="G56" s="523"/>
      <c r="H56" s="531">
        <v>0</v>
      </c>
      <c r="I56" s="781"/>
      <c r="J56" s="530"/>
    </row>
    <row r="57" spans="2:8" ht="15.75">
      <c r="B57" s="524"/>
      <c r="D57" s="523"/>
      <c r="E57" s="523"/>
      <c r="F57" s="523"/>
      <c r="G57" s="523"/>
      <c r="H57" s="522"/>
    </row>
    <row r="58" spans="1:10" ht="15.75">
      <c r="A58" s="515">
        <v>15</v>
      </c>
      <c r="B58" s="524" t="s">
        <v>948</v>
      </c>
      <c r="D58" s="523"/>
      <c r="E58" s="523"/>
      <c r="F58" s="523"/>
      <c r="G58" s="523"/>
      <c r="H58" s="522">
        <f>H54+H41+H56</f>
        <v>-4003777.829110343</v>
      </c>
      <c r="I58" s="798"/>
      <c r="J58" s="515" t="s">
        <v>875</v>
      </c>
    </row>
    <row r="59" spans="1:10" ht="15.75">
      <c r="A59" s="568"/>
      <c r="B59" s="524"/>
      <c r="D59" s="523"/>
      <c r="E59" s="523"/>
      <c r="F59" s="523"/>
      <c r="G59" s="523"/>
      <c r="H59" s="522"/>
      <c r="J59" s="568"/>
    </row>
    <row r="60" spans="1:8" ht="15.75">
      <c r="A60" s="532" t="s">
        <v>365</v>
      </c>
      <c r="D60" s="523"/>
      <c r="E60" s="523"/>
      <c r="F60" s="523"/>
      <c r="G60" s="523"/>
      <c r="H60" s="522"/>
    </row>
    <row r="61" spans="1:12" ht="115.7" customHeight="1">
      <c r="A61" s="533" t="s">
        <v>141</v>
      </c>
      <c r="B61" s="842" t="s">
        <v>680</v>
      </c>
      <c r="C61" s="842"/>
      <c r="D61" s="842"/>
      <c r="E61" s="842"/>
      <c r="F61" s="842"/>
      <c r="G61" s="842"/>
      <c r="H61" s="842"/>
      <c r="I61" s="842"/>
      <c r="J61" s="842"/>
      <c r="L61" s="534"/>
    </row>
    <row r="62" spans="1:10" ht="15.75">
      <c r="A62" s="533" t="s">
        <v>142</v>
      </c>
      <c r="B62" s="630" t="s">
        <v>755</v>
      </c>
      <c r="C62" s="550"/>
      <c r="D62" s="551"/>
      <c r="E62" s="551"/>
      <c r="F62" s="551"/>
      <c r="G62" s="552"/>
      <c r="H62" s="553"/>
      <c r="I62" s="550"/>
      <c r="J62" s="550"/>
    </row>
    <row r="63" spans="1:10" ht="15.75">
      <c r="A63" s="533" t="s">
        <v>143</v>
      </c>
      <c r="B63" s="550" t="s">
        <v>681</v>
      </c>
      <c r="C63" s="550"/>
      <c r="D63" s="551"/>
      <c r="E63" s="551"/>
      <c r="F63" s="551"/>
      <c r="G63" s="552"/>
      <c r="H63" s="553"/>
      <c r="I63" s="550"/>
      <c r="J63" s="550"/>
    </row>
    <row r="64" spans="1:10" ht="15.75">
      <c r="A64" s="533" t="s">
        <v>144</v>
      </c>
      <c r="B64" s="574" t="s">
        <v>715</v>
      </c>
      <c r="C64" s="550"/>
      <c r="D64" s="552"/>
      <c r="E64" s="552"/>
      <c r="F64" s="552"/>
      <c r="G64" s="552"/>
      <c r="H64" s="553"/>
      <c r="I64" s="550"/>
      <c r="J64" s="550"/>
    </row>
    <row r="65" spans="1:10" ht="15.75">
      <c r="A65" s="533"/>
      <c r="B65" s="550" t="s">
        <v>682</v>
      </c>
      <c r="C65" s="574" t="s">
        <v>716</v>
      </c>
      <c r="D65" s="551"/>
      <c r="E65" s="551"/>
      <c r="F65" s="551"/>
      <c r="G65" s="551"/>
      <c r="H65" s="553"/>
      <c r="I65" s="550"/>
      <c r="J65" s="550"/>
    </row>
    <row r="66" spans="1:10" ht="15.75">
      <c r="A66" s="533"/>
      <c r="B66" s="550" t="s">
        <v>683</v>
      </c>
      <c r="C66" s="550"/>
      <c r="D66" s="552"/>
      <c r="E66" s="552"/>
      <c r="F66" s="552"/>
      <c r="G66" s="552"/>
      <c r="H66" s="553"/>
      <c r="I66" s="550"/>
      <c r="J66" s="550"/>
    </row>
    <row r="67" spans="1:10" ht="15.75">
      <c r="A67" s="533" t="s">
        <v>145</v>
      </c>
      <c r="B67" s="550" t="s">
        <v>684</v>
      </c>
      <c r="C67" s="550"/>
      <c r="D67" s="552"/>
      <c r="E67" s="552"/>
      <c r="F67" s="552"/>
      <c r="G67" s="552"/>
      <c r="H67" s="553"/>
      <c r="I67" s="550"/>
      <c r="J67" s="550"/>
    </row>
    <row r="68" spans="1:10" ht="15.75">
      <c r="A68" s="533" t="s">
        <v>146</v>
      </c>
      <c r="B68" s="570" t="s">
        <v>706</v>
      </c>
      <c r="C68" s="550"/>
      <c r="D68" s="552"/>
      <c r="E68" s="552"/>
      <c r="F68" s="552"/>
      <c r="G68" s="552"/>
      <c r="H68" s="553"/>
      <c r="I68" s="550"/>
      <c r="J68" s="550"/>
    </row>
    <row r="69" spans="1:10" ht="45.6" customHeight="1">
      <c r="A69" s="533" t="s">
        <v>147</v>
      </c>
      <c r="B69" s="842" t="s">
        <v>685</v>
      </c>
      <c r="C69" s="842"/>
      <c r="D69" s="842"/>
      <c r="E69" s="842"/>
      <c r="F69" s="842"/>
      <c r="G69" s="842"/>
      <c r="H69" s="842"/>
      <c r="I69" s="842"/>
      <c r="J69" s="842"/>
    </row>
    <row r="70" spans="1:8" ht="15.75">
      <c r="A70" s="530"/>
      <c r="D70" s="535"/>
      <c r="E70" s="535"/>
      <c r="F70" s="535"/>
      <c r="G70" s="523"/>
      <c r="H70" s="522"/>
    </row>
    <row r="71" spans="1:8" ht="15.75">
      <c r="A71" s="530"/>
      <c r="D71" s="535"/>
      <c r="E71" s="535"/>
      <c r="F71" s="535"/>
      <c r="G71" s="523"/>
      <c r="H71" s="522"/>
    </row>
    <row r="72" spans="1:8" ht="15.75">
      <c r="A72" s="530"/>
      <c r="D72" s="535"/>
      <c r="E72" s="535"/>
      <c r="F72" s="535"/>
      <c r="G72" s="523"/>
      <c r="H72" s="522"/>
    </row>
    <row r="73" spans="1:8" ht="15.75">
      <c r="A73" s="536"/>
      <c r="D73" s="523"/>
      <c r="E73" s="523"/>
      <c r="F73" s="523"/>
      <c r="G73" s="523"/>
      <c r="H73" s="522"/>
    </row>
    <row r="74" spans="1:8" ht="15.75">
      <c r="A74" s="536"/>
      <c r="D74" s="523"/>
      <c r="E74" s="523"/>
      <c r="F74" s="523"/>
      <c r="G74" s="523"/>
      <c r="H74" s="522"/>
    </row>
    <row r="75" spans="1:8" ht="15.75">
      <c r="A75" s="536"/>
      <c r="D75" s="523"/>
      <c r="E75" s="523"/>
      <c r="F75" s="523"/>
      <c r="G75" s="523"/>
      <c r="H75" s="522"/>
    </row>
    <row r="76" spans="1:8" ht="15.75">
      <c r="A76" s="536"/>
      <c r="D76" s="523"/>
      <c r="E76" s="523"/>
      <c r="F76" s="523"/>
      <c r="G76" s="523"/>
      <c r="H76" s="522"/>
    </row>
    <row r="77" spans="4:8" ht="15.75">
      <c r="D77" s="523"/>
      <c r="E77" s="523"/>
      <c r="F77" s="523"/>
      <c r="G77" s="523"/>
      <c r="H77" s="522"/>
    </row>
    <row r="78" spans="1:6" ht="15.75">
      <c r="A78" s="536"/>
      <c r="D78" s="523"/>
      <c r="E78" s="523"/>
      <c r="F78" s="523"/>
    </row>
  </sheetData>
  <mergeCells count="4">
    <mergeCell ref="B5:I5"/>
    <mergeCell ref="B6:I6"/>
    <mergeCell ref="B61:J61"/>
    <mergeCell ref="B69:J69"/>
  </mergeCells>
  <pageMargins left="0.7" right="0.7" top="0.75" bottom="0.75" header="0.3" footer="0.3"/>
  <pageSetup orientation="portrait" scale="4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election pane="topLeft" activeCell="G13" sqref="G13"/>
    </sheetView>
  </sheetViews>
  <sheetFormatPr defaultColWidth="8.88555555555556" defaultRowHeight="20.1" customHeight="1"/>
  <cols>
    <col min="1" max="1" width="18.8888888888889" style="137" customWidth="1"/>
    <col min="2" max="2" width="16.8888888888889" style="139" customWidth="1"/>
    <col min="3" max="3" width="9.88888888888889" style="139" customWidth="1"/>
    <col min="4" max="4" width="16.8888888888889" style="137" customWidth="1"/>
    <col min="5" max="9" width="15.8888888888889" style="137" customWidth="1"/>
    <col min="10" max="10" width="18.8888888888889" style="137" customWidth="1"/>
    <col min="11" max="16384" width="8.88888888888889" style="137"/>
  </cols>
  <sheetData>
    <row r="1" spans="2:10" ht="16.5" customHeight="1">
      <c r="B1" s="136"/>
      <c r="C1" s="136"/>
      <c r="J1" s="138" t="s">
        <v>464</v>
      </c>
    </row>
    <row r="2" spans="2:10" ht="16.5" customHeight="1">
      <c r="B2" s="136"/>
      <c r="C2" s="136"/>
      <c r="D2" s="194"/>
      <c r="J2" s="138" t="s">
        <v>276</v>
      </c>
    </row>
    <row r="3" spans="2:10" ht="16.5" customHeight="1">
      <c r="B3" s="136"/>
      <c r="C3" s="136"/>
      <c r="J3" s="138" t="str">
        <f>'Attachment H-21-A ATSI '!K4</f>
        <v>For the 12 months ended 12/31/2023</v>
      </c>
    </row>
    <row r="4" spans="2:3" ht="20.1" customHeight="1">
      <c r="B4" s="136"/>
      <c r="C4" s="136"/>
    </row>
    <row r="5" spans="2:9" ht="20.1" customHeight="1">
      <c r="B5" s="843" t="s">
        <v>478</v>
      </c>
      <c r="C5" s="843"/>
      <c r="D5" s="843"/>
      <c r="E5" s="843"/>
      <c r="F5" s="843"/>
      <c r="G5" s="843"/>
      <c r="H5" s="843"/>
      <c r="I5" s="843"/>
    </row>
    <row r="6" spans="2:9" ht="20.1" customHeight="1">
      <c r="B6" s="844"/>
      <c r="C6" s="844"/>
      <c r="D6" s="844"/>
      <c r="E6" s="844"/>
      <c r="F6" s="844"/>
      <c r="G6" s="844"/>
      <c r="H6" s="844"/>
      <c r="I6" s="844"/>
    </row>
    <row r="7" ht="20.1" customHeight="1" thickBot="1"/>
    <row r="8" spans="2:9" s="165" customFormat="1" ht="95.45" customHeight="1">
      <c r="B8" s="497" t="s">
        <v>876</v>
      </c>
      <c r="C8" s="167"/>
      <c r="D8" s="497" t="s">
        <v>877</v>
      </c>
      <c r="E8" s="167"/>
      <c r="F8" s="166" t="s">
        <v>693</v>
      </c>
      <c r="H8" s="164"/>
      <c r="I8" s="164"/>
    </row>
    <row r="9" spans="2:9" ht="20.1" customHeight="1">
      <c r="B9" s="143"/>
      <c r="C9" s="141"/>
      <c r="D9" s="143"/>
      <c r="E9" s="141"/>
      <c r="F9" s="144"/>
      <c r="H9" s="142"/>
      <c r="I9" s="142"/>
    </row>
    <row r="10" spans="2:9" ht="20.1" customHeight="1" thickBot="1">
      <c r="B10" s="498">
        <v>788697513</v>
      </c>
      <c r="C10" s="147" t="s">
        <v>642</v>
      </c>
      <c r="D10" s="498">
        <v>747846884</v>
      </c>
      <c r="E10" s="147" t="s">
        <v>108</v>
      </c>
      <c r="F10" s="554">
        <f>IF(B10=0,0,B10-D10)</f>
        <v>40850629</v>
      </c>
      <c r="H10" s="142"/>
      <c r="I10" s="142"/>
    </row>
    <row r="11" spans="2:9" ht="20.1" customHeight="1" thickBot="1">
      <c r="B11" s="148"/>
      <c r="C11" s="149"/>
      <c r="D11" s="148"/>
      <c r="E11" s="149"/>
      <c r="F11" s="148"/>
      <c r="G11" s="150"/>
      <c r="H11" s="150"/>
      <c r="I11" s="150"/>
    </row>
    <row r="12" spans="2:9" ht="20.1" customHeight="1">
      <c r="B12" s="151"/>
      <c r="C12" s="145"/>
      <c r="D12" s="146"/>
      <c r="E12" s="145"/>
      <c r="F12" s="146"/>
      <c r="G12" s="142"/>
      <c r="H12" s="142"/>
      <c r="I12" s="142"/>
    </row>
    <row r="13" spans="2:9" ht="48" customHeight="1">
      <c r="B13" s="845"/>
      <c r="C13" s="845"/>
      <c r="D13" s="153" t="s">
        <v>694</v>
      </c>
      <c r="E13" s="153" t="s">
        <v>466</v>
      </c>
      <c r="F13" s="147" t="s">
        <v>467</v>
      </c>
      <c r="G13" s="154" t="s">
        <v>468</v>
      </c>
      <c r="H13" s="153" t="s">
        <v>469</v>
      </c>
      <c r="I13" s="153" t="s">
        <v>470</v>
      </c>
    </row>
    <row r="14" spans="2:9" ht="32.1" customHeight="1">
      <c r="B14" s="846" t="s">
        <v>576</v>
      </c>
      <c r="C14" s="846"/>
      <c r="D14" s="846"/>
      <c r="E14" s="499">
        <v>0.0027699999999999999</v>
      </c>
      <c r="F14" s="146"/>
      <c r="G14" s="142"/>
      <c r="H14" s="142"/>
      <c r="I14" s="142"/>
    </row>
    <row r="15" spans="2:9" ht="20.1" customHeight="1">
      <c r="B15" s="152"/>
      <c r="C15" s="145"/>
      <c r="D15" s="142"/>
      <c r="E15" s="155"/>
      <c r="F15" s="146"/>
      <c r="G15" s="142"/>
      <c r="H15" s="142"/>
      <c r="I15" s="142"/>
    </row>
    <row r="16" spans="2:9" ht="20.1" customHeight="1">
      <c r="B16" s="500" t="s">
        <v>878</v>
      </c>
      <c r="C16" s="501"/>
      <c r="D16" s="501"/>
      <c r="E16" s="501"/>
      <c r="F16" s="501"/>
      <c r="G16" s="501"/>
      <c r="H16" s="501"/>
      <c r="I16" s="555"/>
    </row>
    <row r="17" spans="2:9" ht="20.1" customHeight="1">
      <c r="B17" s="156" t="s">
        <v>3</v>
      </c>
      <c r="C17" s="145"/>
      <c r="D17" s="556"/>
      <c r="E17" s="556" t="s">
        <v>3</v>
      </c>
      <c r="F17" s="555"/>
      <c r="G17" s="555"/>
      <c r="H17" s="555"/>
      <c r="I17" s="555"/>
    </row>
    <row r="18" spans="2:9" ht="20.1" customHeight="1">
      <c r="B18" s="168" t="s">
        <v>471</v>
      </c>
      <c r="C18" s="145"/>
      <c r="D18" s="556"/>
      <c r="E18" s="555"/>
      <c r="F18" s="555"/>
      <c r="G18" s="557" t="s">
        <v>472</v>
      </c>
      <c r="H18" s="556"/>
      <c r="I18" s="556"/>
    </row>
    <row r="19" spans="2:9" ht="20.1" customHeight="1">
      <c r="B19" s="141" t="s">
        <v>334</v>
      </c>
      <c r="C19" s="502" t="s">
        <v>696</v>
      </c>
      <c r="D19" s="157">
        <f>+F10/12</f>
        <v>3404219.0833333335</v>
      </c>
      <c r="E19" s="538">
        <f>+E14</f>
        <v>0.0027699999999999999</v>
      </c>
      <c r="F19" s="539">
        <v>12</v>
      </c>
      <c r="G19" s="157">
        <f t="shared" si="0" ref="G19:G30">E19*D19*F19*-1</f>
        <v>-113156.24233000001</v>
      </c>
      <c r="H19" s="157"/>
      <c r="I19" s="157">
        <f t="shared" si="1" ref="I19:I30">(-G19+D19)*-1</f>
        <v>-3517375.3256633333</v>
      </c>
    </row>
    <row r="20" spans="2:9" ht="20.1" customHeight="1">
      <c r="B20" s="141" t="s">
        <v>335</v>
      </c>
      <c r="C20" s="502" t="str">
        <f>C19</f>
        <v>Year 2021</v>
      </c>
      <c r="D20" s="157">
        <f>+D19</f>
        <v>3404219.0833333335</v>
      </c>
      <c r="E20" s="538">
        <f>+E19</f>
        <v>0.0027699999999999999</v>
      </c>
      <c r="F20" s="540">
        <f t="shared" si="2" ref="F20:F30">+F19-1</f>
        <v>11</v>
      </c>
      <c r="G20" s="157">
        <f t="shared" si="0"/>
        <v>-103726.55546916666</v>
      </c>
      <c r="H20" s="157"/>
      <c r="I20" s="157">
        <f t="shared" si="1"/>
        <v>-3507945.6388025</v>
      </c>
    </row>
    <row r="21" spans="2:9" ht="20.1" customHeight="1">
      <c r="B21" s="141" t="s">
        <v>336</v>
      </c>
      <c r="C21" s="502" t="str">
        <f t="shared" si="3" ref="C21:C30">C20</f>
        <v>Year 2021</v>
      </c>
      <c r="D21" s="157">
        <f t="shared" si="4" ref="D21:E30">+D20</f>
        <v>3404219.0833333335</v>
      </c>
      <c r="E21" s="538">
        <f t="shared" si="4"/>
        <v>0.0027699999999999999</v>
      </c>
      <c r="F21" s="540">
        <f t="shared" si="2"/>
        <v>10</v>
      </c>
      <c r="G21" s="157">
        <f t="shared" si="0"/>
        <v>-94296.86860833333</v>
      </c>
      <c r="H21" s="157"/>
      <c r="I21" s="157">
        <f t="shared" si="1"/>
        <v>-3498515.9519416667</v>
      </c>
    </row>
    <row r="22" spans="2:9" ht="20.1" customHeight="1">
      <c r="B22" s="141" t="s">
        <v>337</v>
      </c>
      <c r="C22" s="502" t="str">
        <f t="shared" si="3"/>
        <v>Year 2021</v>
      </c>
      <c r="D22" s="157">
        <f t="shared" si="4"/>
        <v>3404219.0833333335</v>
      </c>
      <c r="E22" s="538">
        <f t="shared" si="4"/>
        <v>0.0027699999999999999</v>
      </c>
      <c r="F22" s="540">
        <f t="shared" si="2"/>
        <v>9</v>
      </c>
      <c r="G22" s="157">
        <f t="shared" si="0"/>
        <v>-84867.181747499999</v>
      </c>
      <c r="H22" s="157"/>
      <c r="I22" s="157">
        <f t="shared" si="1"/>
        <v>-3489086.2650808333</v>
      </c>
    </row>
    <row r="23" spans="2:9" ht="20.1" customHeight="1">
      <c r="B23" s="141" t="s">
        <v>338</v>
      </c>
      <c r="C23" s="502" t="str">
        <f t="shared" si="3"/>
        <v>Year 2021</v>
      </c>
      <c r="D23" s="157">
        <f t="shared" si="4"/>
        <v>3404219.0833333335</v>
      </c>
      <c r="E23" s="538">
        <f t="shared" si="4"/>
        <v>0.0027699999999999999</v>
      </c>
      <c r="F23" s="540">
        <f t="shared" si="2"/>
        <v>8</v>
      </c>
      <c r="G23" s="157">
        <f t="shared" si="0"/>
        <v>-75437.494886666667</v>
      </c>
      <c r="H23" s="157"/>
      <c r="I23" s="157">
        <f t="shared" si="1"/>
        <v>-3479656.57822</v>
      </c>
    </row>
    <row r="24" spans="2:9" ht="20.1" customHeight="1">
      <c r="B24" s="141" t="s">
        <v>354</v>
      </c>
      <c r="C24" s="502" t="str">
        <f t="shared" si="3"/>
        <v>Year 2021</v>
      </c>
      <c r="D24" s="157">
        <f t="shared" si="4"/>
        <v>3404219.0833333335</v>
      </c>
      <c r="E24" s="538">
        <f t="shared" si="4"/>
        <v>0.0027699999999999999</v>
      </c>
      <c r="F24" s="540">
        <f t="shared" si="2"/>
        <v>7</v>
      </c>
      <c r="G24" s="157">
        <f t="shared" si="0"/>
        <v>-66007.808025833336</v>
      </c>
      <c r="H24" s="157"/>
      <c r="I24" s="157">
        <f t="shared" si="1"/>
        <v>-3470226.8913591667</v>
      </c>
    </row>
    <row r="25" spans="2:9" ht="20.1" customHeight="1">
      <c r="B25" s="141" t="s">
        <v>339</v>
      </c>
      <c r="C25" s="502" t="str">
        <f t="shared" si="3"/>
        <v>Year 2021</v>
      </c>
      <c r="D25" s="157">
        <f t="shared" si="4"/>
        <v>3404219.0833333335</v>
      </c>
      <c r="E25" s="538">
        <f t="shared" si="4"/>
        <v>0.0027699999999999999</v>
      </c>
      <c r="F25" s="540">
        <f t="shared" si="2"/>
        <v>6</v>
      </c>
      <c r="G25" s="157">
        <f t="shared" si="0"/>
        <v>-56578.121165000004</v>
      </c>
      <c r="H25" s="157"/>
      <c r="I25" s="157">
        <f t="shared" si="1"/>
        <v>-3460797.2044983334</v>
      </c>
    </row>
    <row r="26" spans="2:9" ht="20.1" customHeight="1">
      <c r="B26" s="141" t="s">
        <v>340</v>
      </c>
      <c r="C26" s="502" t="str">
        <f t="shared" si="3"/>
        <v>Year 2021</v>
      </c>
      <c r="D26" s="157">
        <f t="shared" si="4"/>
        <v>3404219.0833333335</v>
      </c>
      <c r="E26" s="538">
        <f t="shared" si="4"/>
        <v>0.0027699999999999999</v>
      </c>
      <c r="F26" s="540">
        <f t="shared" si="2"/>
        <v>5</v>
      </c>
      <c r="G26" s="157">
        <f t="shared" si="0"/>
        <v>-47148.434304166665</v>
      </c>
      <c r="H26" s="157"/>
      <c r="I26" s="157">
        <f t="shared" si="1"/>
        <v>-3451367.5176375001</v>
      </c>
    </row>
    <row r="27" spans="2:9" ht="20.1" customHeight="1">
      <c r="B27" s="141" t="s">
        <v>341</v>
      </c>
      <c r="C27" s="502" t="str">
        <f t="shared" si="3"/>
        <v>Year 2021</v>
      </c>
      <c r="D27" s="157">
        <f t="shared" si="4"/>
        <v>3404219.0833333335</v>
      </c>
      <c r="E27" s="538">
        <f t="shared" si="4"/>
        <v>0.0027699999999999999</v>
      </c>
      <c r="F27" s="540">
        <f t="shared" si="2"/>
        <v>4</v>
      </c>
      <c r="G27" s="157">
        <f t="shared" si="0"/>
        <v>-37718.747443333334</v>
      </c>
      <c r="H27" s="157"/>
      <c r="I27" s="157">
        <f t="shared" si="1"/>
        <v>-3441937.8307766668</v>
      </c>
    </row>
    <row r="28" spans="2:9" ht="20.1" customHeight="1">
      <c r="B28" s="141" t="s">
        <v>343</v>
      </c>
      <c r="C28" s="502" t="str">
        <f t="shared" si="3"/>
        <v>Year 2021</v>
      </c>
      <c r="D28" s="157">
        <f t="shared" si="4"/>
        <v>3404219.0833333335</v>
      </c>
      <c r="E28" s="538">
        <f t="shared" si="4"/>
        <v>0.0027699999999999999</v>
      </c>
      <c r="F28" s="540">
        <f t="shared" si="2"/>
        <v>3</v>
      </c>
      <c r="G28" s="157">
        <f t="shared" si="0"/>
        <v>-28289.060582500002</v>
      </c>
      <c r="H28" s="157"/>
      <c r="I28" s="157">
        <f t="shared" si="1"/>
        <v>-3432508.1439158334</v>
      </c>
    </row>
    <row r="29" spans="2:9" ht="20.1" customHeight="1">
      <c r="B29" s="141" t="s">
        <v>342</v>
      </c>
      <c r="C29" s="502" t="str">
        <f t="shared" si="3"/>
        <v>Year 2021</v>
      </c>
      <c r="D29" s="157">
        <f t="shared" si="4"/>
        <v>3404219.0833333335</v>
      </c>
      <c r="E29" s="538">
        <f t="shared" si="4"/>
        <v>0.0027699999999999999</v>
      </c>
      <c r="F29" s="540">
        <f t="shared" si="2"/>
        <v>2</v>
      </c>
      <c r="G29" s="157">
        <f t="shared" si="0"/>
        <v>-18859.373721666667</v>
      </c>
      <c r="H29" s="157"/>
      <c r="I29" s="157">
        <f t="shared" si="1"/>
        <v>-3423078.4570550001</v>
      </c>
    </row>
    <row r="30" spans="2:9" ht="20.1" customHeight="1">
      <c r="B30" s="141" t="s">
        <v>333</v>
      </c>
      <c r="C30" s="502" t="str">
        <f t="shared" si="3"/>
        <v>Year 2021</v>
      </c>
      <c r="D30" s="157">
        <f t="shared" si="4"/>
        <v>3404219.0833333335</v>
      </c>
      <c r="E30" s="538">
        <f t="shared" si="4"/>
        <v>0.0027699999999999999</v>
      </c>
      <c r="F30" s="540">
        <f t="shared" si="2"/>
        <v>1</v>
      </c>
      <c r="G30" s="158">
        <f t="shared" si="0"/>
        <v>-9429.6868608333334</v>
      </c>
      <c r="H30" s="157"/>
      <c r="I30" s="157">
        <f t="shared" si="1"/>
        <v>-3413648.7701941668</v>
      </c>
    </row>
    <row r="31" spans="2:9" ht="20.1" customHeight="1">
      <c r="B31" s="141"/>
      <c r="C31" s="141"/>
      <c r="D31" s="157"/>
      <c r="E31" s="538"/>
      <c r="F31" s="540"/>
      <c r="G31" s="157">
        <f>SUM(G19:G30)</f>
        <v>-735515.57514500001</v>
      </c>
      <c r="H31" s="157"/>
      <c r="I31" s="159">
        <f>SUM(I19:I30)</f>
        <v>-41586144.575144999</v>
      </c>
    </row>
    <row r="32" spans="2:9" ht="20.1" customHeight="1">
      <c r="B32" s="141"/>
      <c r="C32" s="141"/>
      <c r="D32" s="157"/>
      <c r="E32" s="538"/>
      <c r="F32" s="539"/>
      <c r="G32" s="157"/>
      <c r="H32" s="157" t="s">
        <v>3</v>
      </c>
      <c r="I32" s="541"/>
    </row>
    <row r="33" spans="2:9" ht="20.1" customHeight="1">
      <c r="B33" s="141"/>
      <c r="C33" s="141"/>
      <c r="D33" s="542"/>
      <c r="E33" s="538"/>
      <c r="F33" s="539"/>
      <c r="G33" s="161" t="s">
        <v>473</v>
      </c>
      <c r="H33" s="157"/>
      <c r="I33" s="157"/>
    </row>
    <row r="34" spans="2:9" ht="37.35" customHeight="1">
      <c r="B34" s="558" t="s">
        <v>474</v>
      </c>
      <c r="C34" s="559" t="s">
        <v>879</v>
      </c>
      <c r="D34" s="560">
        <f>I31</f>
        <v>-41586144.575144999</v>
      </c>
      <c r="E34" s="561">
        <f>+E30</f>
        <v>0.0027699999999999999</v>
      </c>
      <c r="F34" s="562">
        <v>12</v>
      </c>
      <c r="G34" s="563">
        <f>+F34*E34*D34</f>
        <v>-1382323.4456778197</v>
      </c>
      <c r="H34" s="563"/>
      <c r="I34" s="564">
        <f>+D34+G34</f>
        <v>-42968468.020822816</v>
      </c>
    </row>
    <row r="35" spans="2:9" ht="20.1" customHeight="1">
      <c r="B35" s="141"/>
      <c r="C35" s="141"/>
      <c r="D35" s="542"/>
      <c r="E35" s="538"/>
      <c r="F35" s="543"/>
      <c r="G35" s="157"/>
      <c r="H35" s="157"/>
      <c r="I35" s="157"/>
    </row>
    <row r="36" spans="2:9" ht="20.1" customHeight="1">
      <c r="B36" s="162" t="s">
        <v>695</v>
      </c>
      <c r="C36" s="141"/>
      <c r="D36" s="157"/>
      <c r="E36" s="538"/>
      <c r="F36" s="543"/>
      <c r="G36" s="161" t="s">
        <v>472</v>
      </c>
      <c r="H36" s="157"/>
      <c r="I36" s="157"/>
    </row>
    <row r="37" spans="2:9" ht="20.1" customHeight="1">
      <c r="B37" s="141" t="s">
        <v>334</v>
      </c>
      <c r="C37" s="502" t="s">
        <v>880</v>
      </c>
      <c r="D37" s="544">
        <f>-I34</f>
        <v>42968468.020822816</v>
      </c>
      <c r="E37" s="538">
        <f>+E30</f>
        <v>0.0027699999999999999</v>
      </c>
      <c r="F37" s="543"/>
      <c r="G37" s="157">
        <f t="shared" si="5" ref="G37:G48">-E37*D37</f>
        <v>-119022.6564176792</v>
      </c>
      <c r="H37" s="157">
        <f>PMT(E37,12,I$34)</f>
        <v>3645503.2185232011</v>
      </c>
      <c r="I37" s="157">
        <f t="shared" si="6" ref="I37:I48">(+D37+D37*E37-H37)*-1</f>
        <v>-39441987.458717294</v>
      </c>
    </row>
    <row r="38" spans="2:9" ht="20.1" customHeight="1">
      <c r="B38" s="141" t="s">
        <v>335</v>
      </c>
      <c r="C38" s="502" t="str">
        <f>C37</f>
        <v>Year 2023</v>
      </c>
      <c r="D38" s="542">
        <f>-I37</f>
        <v>39441987.458717294</v>
      </c>
      <c r="E38" s="538">
        <f>+E37</f>
        <v>0.0027699999999999999</v>
      </c>
      <c r="F38" s="543"/>
      <c r="G38" s="157">
        <f t="shared" si="5"/>
        <v>-109254.3052606469</v>
      </c>
      <c r="H38" s="157">
        <f>H37</f>
        <v>3645503.2185232011</v>
      </c>
      <c r="I38" s="157">
        <f t="shared" si="6"/>
        <v>-35905738.545454733</v>
      </c>
    </row>
    <row r="39" spans="2:9" ht="20.1" customHeight="1">
      <c r="B39" s="141" t="s">
        <v>336</v>
      </c>
      <c r="C39" s="502" t="str">
        <f t="shared" si="7" ref="C39:C48">C38</f>
        <v>Year 2023</v>
      </c>
      <c r="D39" s="542">
        <f t="shared" si="8" ref="D39:D48">-I38</f>
        <v>35905738.545454733</v>
      </c>
      <c r="E39" s="538">
        <f t="shared" si="9" ref="E39:E48">+E38</f>
        <v>0.0027699999999999999</v>
      </c>
      <c r="F39" s="543"/>
      <c r="G39" s="157">
        <f t="shared" si="5"/>
        <v>-99458.895770909614</v>
      </c>
      <c r="H39" s="157">
        <f t="shared" si="10" ref="H39:H48">H38</f>
        <v>3645503.2185232011</v>
      </c>
      <c r="I39" s="157">
        <f t="shared" si="6"/>
        <v>-32359694.22270244</v>
      </c>
    </row>
    <row r="40" spans="2:9" ht="20.1" customHeight="1">
      <c r="B40" s="141" t="s">
        <v>337</v>
      </c>
      <c r="C40" s="502" t="str">
        <f t="shared" si="7"/>
        <v>Year 2023</v>
      </c>
      <c r="D40" s="542">
        <f t="shared" si="8"/>
        <v>32359694.22270244</v>
      </c>
      <c r="E40" s="538">
        <f t="shared" si="9"/>
        <v>0.0027699999999999999</v>
      </c>
      <c r="F40" s="543"/>
      <c r="G40" s="157">
        <f t="shared" si="5"/>
        <v>-89636.352996885762</v>
      </c>
      <c r="H40" s="157">
        <f t="shared" si="10"/>
        <v>3645503.2185232011</v>
      </c>
      <c r="I40" s="157">
        <f t="shared" si="6"/>
        <v>-28803827.357176125</v>
      </c>
    </row>
    <row r="41" spans="2:9" ht="20.1" customHeight="1">
      <c r="B41" s="141" t="s">
        <v>338</v>
      </c>
      <c r="C41" s="502" t="str">
        <f t="shared" si="7"/>
        <v>Year 2023</v>
      </c>
      <c r="D41" s="542">
        <f t="shared" si="8"/>
        <v>28803827.357176125</v>
      </c>
      <c r="E41" s="538">
        <f t="shared" si="9"/>
        <v>0.0027699999999999999</v>
      </c>
      <c r="F41" s="543"/>
      <c r="G41" s="157">
        <f t="shared" si="5"/>
        <v>-79786.601779377859</v>
      </c>
      <c r="H41" s="157">
        <f t="shared" si="10"/>
        <v>3645503.2185232011</v>
      </c>
      <c r="I41" s="157">
        <f t="shared" si="6"/>
        <v>-25238110.740432303</v>
      </c>
    </row>
    <row r="42" spans="2:9" ht="20.1" customHeight="1">
      <c r="B42" s="141" t="s">
        <v>354</v>
      </c>
      <c r="C42" s="502" t="str">
        <f t="shared" si="7"/>
        <v>Year 2023</v>
      </c>
      <c r="D42" s="542">
        <f t="shared" si="8"/>
        <v>25238110.740432303</v>
      </c>
      <c r="E42" s="538">
        <f t="shared" si="9"/>
        <v>0.0027699999999999999</v>
      </c>
      <c r="F42" s="543"/>
      <c r="G42" s="157">
        <f t="shared" si="5"/>
        <v>-69909.566750997474</v>
      </c>
      <c r="H42" s="157">
        <f t="shared" si="10"/>
        <v>3645503.2185232011</v>
      </c>
      <c r="I42" s="157">
        <f t="shared" si="6"/>
        <v>-21662517.088660099</v>
      </c>
    </row>
    <row r="43" spans="2:9" ht="20.1" customHeight="1">
      <c r="B43" s="141" t="s">
        <v>339</v>
      </c>
      <c r="C43" s="502" t="str">
        <f t="shared" si="7"/>
        <v>Year 2023</v>
      </c>
      <c r="D43" s="542">
        <f t="shared" si="8"/>
        <v>21662517.088660099</v>
      </c>
      <c r="E43" s="538">
        <f t="shared" si="9"/>
        <v>0.0027699999999999999</v>
      </c>
      <c r="F43" s="543"/>
      <c r="G43" s="157">
        <f t="shared" si="5"/>
        <v>-60005.172335588468</v>
      </c>
      <c r="H43" s="157">
        <f t="shared" si="10"/>
        <v>3645503.2185232011</v>
      </c>
      <c r="I43" s="157">
        <f t="shared" si="6"/>
        <v>-18077019.042472485</v>
      </c>
    </row>
    <row r="44" spans="2:9" ht="20.1" customHeight="1">
      <c r="B44" s="141" t="s">
        <v>340</v>
      </c>
      <c r="C44" s="502" t="str">
        <f t="shared" si="7"/>
        <v>Year 2023</v>
      </c>
      <c r="D44" s="542">
        <f t="shared" si="8"/>
        <v>18077019.042472485</v>
      </c>
      <c r="E44" s="538">
        <f t="shared" si="9"/>
        <v>0.0027699999999999999</v>
      </c>
      <c r="F44" s="543"/>
      <c r="G44" s="157">
        <f t="shared" si="5"/>
        <v>-50073.342747648785</v>
      </c>
      <c r="H44" s="157">
        <f t="shared" si="10"/>
        <v>3645503.2185232011</v>
      </c>
      <c r="I44" s="157">
        <f t="shared" si="6"/>
        <v>-14481589.166696932</v>
      </c>
    </row>
    <row r="45" spans="2:9" ht="20.1" customHeight="1">
      <c r="B45" s="141" t="s">
        <v>341</v>
      </c>
      <c r="C45" s="502" t="str">
        <f t="shared" si="7"/>
        <v>Year 2023</v>
      </c>
      <c r="D45" s="542">
        <f t="shared" si="8"/>
        <v>14481589.166696932</v>
      </c>
      <c r="E45" s="538">
        <f t="shared" si="9"/>
        <v>0.0027699999999999999</v>
      </c>
      <c r="F45" s="543"/>
      <c r="G45" s="157">
        <f t="shared" si="5"/>
        <v>-40114.001991750498</v>
      </c>
      <c r="H45" s="157">
        <f t="shared" si="10"/>
        <v>3645503.2185232011</v>
      </c>
      <c r="I45" s="157">
        <f t="shared" si="6"/>
        <v>-10876199.950165482</v>
      </c>
    </row>
    <row r="46" spans="2:9" ht="20.1" customHeight="1">
      <c r="B46" s="141" t="s">
        <v>343</v>
      </c>
      <c r="C46" s="502" t="str">
        <f t="shared" si="7"/>
        <v>Year 2023</v>
      </c>
      <c r="D46" s="542">
        <f t="shared" si="8"/>
        <v>10876199.950165482</v>
      </c>
      <c r="E46" s="538">
        <f t="shared" si="9"/>
        <v>0.0027699999999999999</v>
      </c>
      <c r="F46" s="543"/>
      <c r="G46" s="157">
        <f t="shared" si="5"/>
        <v>-30127.073861958386</v>
      </c>
      <c r="H46" s="157">
        <f t="shared" si="10"/>
        <v>3645503.2185232011</v>
      </c>
      <c r="I46" s="157">
        <f t="shared" si="6"/>
        <v>-7260823.8055042401</v>
      </c>
    </row>
    <row r="47" spans="2:9" ht="20.1" customHeight="1">
      <c r="B47" s="141" t="s">
        <v>342</v>
      </c>
      <c r="C47" s="502" t="str">
        <f t="shared" si="7"/>
        <v>Year 2023</v>
      </c>
      <c r="D47" s="542">
        <f t="shared" si="8"/>
        <v>7260823.8055042401</v>
      </c>
      <c r="E47" s="538">
        <f t="shared" si="9"/>
        <v>0.0027699999999999999</v>
      </c>
      <c r="F47" s="543"/>
      <c r="G47" s="157">
        <f t="shared" si="5"/>
        <v>-20112.481941246744</v>
      </c>
      <c r="H47" s="157">
        <f t="shared" si="10"/>
        <v>3645503.2185232011</v>
      </c>
      <c r="I47" s="157">
        <f t="shared" si="6"/>
        <v>-3635433.0689222855</v>
      </c>
    </row>
    <row r="48" spans="2:9" ht="20.1" customHeight="1">
      <c r="B48" s="141" t="s">
        <v>333</v>
      </c>
      <c r="C48" s="502" t="str">
        <f t="shared" si="7"/>
        <v>Year 2023</v>
      </c>
      <c r="D48" s="542">
        <f t="shared" si="8"/>
        <v>3635433.0689222855</v>
      </c>
      <c r="E48" s="538">
        <f t="shared" si="9"/>
        <v>0.0027699999999999999</v>
      </c>
      <c r="F48" s="543"/>
      <c r="G48" s="158">
        <f t="shared" si="5"/>
        <v>-10070.14960091473</v>
      </c>
      <c r="H48" s="157">
        <f t="shared" si="10"/>
        <v>3645503.2185232011</v>
      </c>
      <c r="I48" s="157">
        <f t="shared" si="6"/>
        <v>9.3132257461547852E-10</v>
      </c>
    </row>
    <row r="49" spans="2:9" ht="20.1" customHeight="1">
      <c r="B49" s="141"/>
      <c r="C49" s="141"/>
      <c r="D49" s="542"/>
      <c r="E49" s="538"/>
      <c r="F49" s="543"/>
      <c r="G49" s="157">
        <f>SUM(G37:G48)</f>
        <v>-777570.60145560442</v>
      </c>
      <c r="H49" s="157"/>
      <c r="I49" s="157"/>
    </row>
    <row r="50" spans="2:9" ht="20.1" customHeight="1">
      <c r="B50" s="160"/>
      <c r="C50" s="160"/>
      <c r="D50" s="541"/>
      <c r="E50" s="541"/>
      <c r="F50" s="541"/>
      <c r="G50" s="541"/>
      <c r="H50" s="541"/>
      <c r="I50" s="541"/>
    </row>
    <row r="51" spans="2:9" ht="20.1" customHeight="1">
      <c r="B51" s="543" t="s">
        <v>477</v>
      </c>
      <c r="C51" s="160"/>
      <c r="D51" s="541"/>
      <c r="E51" s="541"/>
      <c r="F51" s="541"/>
      <c r="G51" s="541"/>
      <c r="H51" s="163">
        <f>SUM(H37:H48)*-1</f>
        <v>-43746038.622278422</v>
      </c>
      <c r="I51" s="541"/>
    </row>
    <row r="52" spans="2:9" ht="20.1" customHeight="1">
      <c r="B52" s="543" t="s">
        <v>697</v>
      </c>
      <c r="C52" s="160"/>
      <c r="D52" s="541"/>
      <c r="E52" s="541"/>
      <c r="F52" s="541"/>
      <c r="G52" s="541"/>
      <c r="H52" s="565">
        <f>+F10</f>
        <v>40850629</v>
      </c>
      <c r="I52" s="541"/>
    </row>
    <row r="53" spans="2:9" ht="20.1" customHeight="1">
      <c r="B53" s="543" t="s">
        <v>475</v>
      </c>
      <c r="C53" s="160"/>
      <c r="D53" s="541"/>
      <c r="E53" s="541"/>
      <c r="F53" s="541"/>
      <c r="G53" s="541"/>
      <c r="H53" s="163">
        <f>H51+H52</f>
        <v>-2895409.6222784221</v>
      </c>
      <c r="I53" s="541"/>
    </row>
    <row r="55" spans="1:10" ht="32.1" customHeight="1">
      <c r="A55" s="216" t="s">
        <v>577</v>
      </c>
      <c r="B55" s="838" t="s">
        <v>578</v>
      </c>
      <c r="C55" s="838"/>
      <c r="D55" s="838"/>
      <c r="E55" s="838"/>
      <c r="F55" s="838"/>
      <c r="G55" s="838"/>
      <c r="H55" s="838"/>
      <c r="I55" s="838"/>
      <c r="J55" s="838"/>
    </row>
  </sheetData>
  <mergeCells count="5">
    <mergeCell ref="B5:I5"/>
    <mergeCell ref="B6:I6"/>
    <mergeCell ref="B13:C13"/>
    <mergeCell ref="B14:D14"/>
    <mergeCell ref="B55:J55"/>
  </mergeCells>
  <printOptions horizontalCentered="1"/>
  <pageMargins left="0.7" right="0.7" top="0.75" bottom="0.75" header="0.3" footer="0.3"/>
  <pageSetup fitToHeight="0" fitToWidth="0" orientation="portrait" scale="45"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F29" sqref="F29"/>
    </sheetView>
  </sheetViews>
  <sheetFormatPr defaultColWidth="8.88555555555556" defaultRowHeight="20.1" customHeight="1"/>
  <cols>
    <col min="1" max="1" width="2.88888888888889" style="90" customWidth="1"/>
    <col min="2" max="2" width="10.8888888888889" style="84" customWidth="1"/>
    <col min="3" max="3" width="8.88888888888889" style="84"/>
    <col min="4" max="4" width="2.88888888888889" style="84" customWidth="1"/>
    <col min="5" max="10" width="12.8888888888889" style="90" customWidth="1"/>
    <col min="11" max="11" width="5.88888888888889" style="90" customWidth="1"/>
    <col min="12" max="12" width="13.8888888888889" style="84" customWidth="1"/>
    <col min="13" max="16384" width="8.88888888888889" style="84"/>
  </cols>
  <sheetData>
    <row r="1" spans="1:1" ht="20.1" customHeight="1">
      <c r="A1" s="93" t="str">
        <f ca="1">RIGHT(CELL("filename",D2),LEN(CELL("filename",D2))-FIND("]",CELL("filename",D2)))</f>
        <v>WP01 Plant</v>
      </c>
    </row>
    <row r="2" spans="3:3" ht="20.1" customHeight="1">
      <c r="C2" s="192"/>
    </row>
    <row r="3" spans="5:12" ht="20.1" customHeight="1">
      <c r="E3" s="92" t="s">
        <v>355</v>
      </c>
      <c r="F3" s="92" t="s">
        <v>33</v>
      </c>
      <c r="G3" s="92" t="s">
        <v>356</v>
      </c>
      <c r="H3" s="92" t="s">
        <v>357</v>
      </c>
      <c r="I3" s="92" t="s">
        <v>358</v>
      </c>
      <c r="J3" s="92" t="s">
        <v>359</v>
      </c>
      <c r="K3" s="84"/>
      <c r="L3" s="92" t="s">
        <v>11</v>
      </c>
    </row>
    <row r="4" spans="5:11" ht="20.1" customHeight="1">
      <c r="E4" s="92"/>
      <c r="F4" s="92"/>
      <c r="G4" s="92"/>
      <c r="H4" s="92"/>
      <c r="I4" s="92"/>
      <c r="J4" s="92"/>
      <c r="K4" s="84"/>
    </row>
    <row r="5" spans="4:11" ht="20.1" customHeight="1">
      <c r="D5" s="88" t="s">
        <v>364</v>
      </c>
      <c r="E5" s="91" t="s">
        <v>171</v>
      </c>
      <c r="F5" s="91" t="s">
        <v>360</v>
      </c>
      <c r="G5" s="91" t="s">
        <v>172</v>
      </c>
      <c r="H5" s="91" t="s">
        <v>362</v>
      </c>
      <c r="I5" s="91" t="s">
        <v>361</v>
      </c>
      <c r="J5" s="94">
        <v>356.10000000000002</v>
      </c>
      <c r="K5" s="84"/>
    </row>
    <row r="6" spans="1:12" ht="20.1" customHeight="1">
      <c r="A6" s="94">
        <v>1</v>
      </c>
      <c r="B6" s="84" t="s">
        <v>333</v>
      </c>
      <c r="C6" s="210">
        <f>'Appendix C-RRCA'!C11</f>
        <v>2022</v>
      </c>
      <c r="E6" s="177"/>
      <c r="F6" s="177">
        <v>5654441381.9312916</v>
      </c>
      <c r="G6" s="177"/>
      <c r="H6" s="177">
        <v>212076794.04748741</v>
      </c>
      <c r="I6" s="177">
        <v>148704074.50234035</v>
      </c>
      <c r="J6" s="177"/>
      <c r="K6" s="178"/>
      <c r="L6" s="178">
        <f t="shared" si="0" ref="L6:L17">SUM(E6:J6)</f>
        <v>6015222250.4811192</v>
      </c>
    </row>
    <row r="7" spans="1:12" ht="20.1" customHeight="1">
      <c r="A7" s="94">
        <v>2</v>
      </c>
      <c r="B7" s="84" t="s">
        <v>334</v>
      </c>
      <c r="C7" s="87">
        <f>C6+1</f>
        <v>2023</v>
      </c>
      <c r="E7" s="177"/>
      <c r="F7" s="177">
        <v>5662967562.1661692</v>
      </c>
      <c r="G7" s="177"/>
      <c r="H7" s="177">
        <v>212663325.23662984</v>
      </c>
      <c r="I7" s="177">
        <v>149577087.92918354</v>
      </c>
      <c r="J7" s="177"/>
      <c r="K7" s="178"/>
      <c r="L7" s="178">
        <f t="shared" si="0"/>
        <v>6025207975.3319826</v>
      </c>
    </row>
    <row r="8" spans="1:12" ht="20.1" customHeight="1">
      <c r="A8" s="94">
        <v>3</v>
      </c>
      <c r="B8" s="84" t="s">
        <v>335</v>
      </c>
      <c r="C8" s="87">
        <f>C7</f>
        <v>2023</v>
      </c>
      <c r="E8" s="177"/>
      <c r="F8" s="177">
        <v>5669141628.9249964</v>
      </c>
      <c r="G8" s="177"/>
      <c r="H8" s="177">
        <v>213026487.38292536</v>
      </c>
      <c r="I8" s="177">
        <v>150159268.7201829</v>
      </c>
      <c r="J8" s="177"/>
      <c r="K8" s="178"/>
      <c r="L8" s="178">
        <f t="shared" si="0"/>
        <v>6032327385.0281048</v>
      </c>
    </row>
    <row r="9" spans="1:12" ht="20.1" customHeight="1">
      <c r="A9" s="94">
        <v>4</v>
      </c>
      <c r="B9" s="84" t="s">
        <v>336</v>
      </c>
      <c r="C9" s="87">
        <f t="shared" si="1" ref="C9:C18">C8</f>
        <v>2023</v>
      </c>
      <c r="E9" s="177"/>
      <c r="F9" s="177">
        <v>5680270760.4253349</v>
      </c>
      <c r="G9" s="177"/>
      <c r="H9" s="177">
        <v>213476230.34725001</v>
      </c>
      <c r="I9" s="177">
        <v>150845202.13960308</v>
      </c>
      <c r="J9" s="177"/>
      <c r="K9" s="178"/>
      <c r="L9" s="178">
        <f t="shared" si="0"/>
        <v>6044592192.9121876</v>
      </c>
    </row>
    <row r="10" spans="1:12" ht="20.1" customHeight="1">
      <c r="A10" s="94">
        <v>5</v>
      </c>
      <c r="B10" s="84" t="s">
        <v>337</v>
      </c>
      <c r="C10" s="87">
        <f t="shared" si="1"/>
        <v>2023</v>
      </c>
      <c r="E10" s="177"/>
      <c r="F10" s="177">
        <v>5714533006.9568014</v>
      </c>
      <c r="G10" s="177"/>
      <c r="H10" s="177">
        <v>214893482.74242216</v>
      </c>
      <c r="I10" s="177">
        <v>151426594.25703162</v>
      </c>
      <c r="J10" s="177"/>
      <c r="K10" s="178"/>
      <c r="L10" s="178">
        <f t="shared" si="0"/>
        <v>6080853083.956255</v>
      </c>
    </row>
    <row r="11" spans="1:12" ht="20.1" customHeight="1">
      <c r="A11" s="94">
        <v>6</v>
      </c>
      <c r="B11" s="84" t="s">
        <v>338</v>
      </c>
      <c r="C11" s="87">
        <f t="shared" si="1"/>
        <v>2023</v>
      </c>
      <c r="E11" s="177"/>
      <c r="F11" s="177">
        <v>5774769748.2353811</v>
      </c>
      <c r="G11" s="177"/>
      <c r="H11" s="177">
        <v>215342939.29850733</v>
      </c>
      <c r="I11" s="177">
        <v>153356945.49147886</v>
      </c>
      <c r="J11" s="177"/>
      <c r="K11" s="178"/>
      <c r="L11" s="178">
        <f t="shared" si="0"/>
        <v>6143469633.0253677</v>
      </c>
    </row>
    <row r="12" spans="1:12" ht="20.1" customHeight="1">
      <c r="A12" s="94">
        <v>7</v>
      </c>
      <c r="B12" s="84" t="s">
        <v>354</v>
      </c>
      <c r="C12" s="87">
        <f t="shared" si="1"/>
        <v>2023</v>
      </c>
      <c r="E12" s="177"/>
      <c r="F12" s="177">
        <v>5798866836.7586699</v>
      </c>
      <c r="G12" s="177"/>
      <c r="H12" s="177">
        <v>215792395.81071585</v>
      </c>
      <c r="I12" s="177">
        <v>154882452.73909062</v>
      </c>
      <c r="J12" s="177"/>
      <c r="K12" s="178"/>
      <c r="L12" s="178">
        <f t="shared" si="0"/>
        <v>6169541685.3084764</v>
      </c>
    </row>
    <row r="13" spans="1:12" ht="20.1" customHeight="1">
      <c r="A13" s="94">
        <v>8</v>
      </c>
      <c r="B13" s="84" t="s">
        <v>339</v>
      </c>
      <c r="C13" s="87">
        <f t="shared" si="1"/>
        <v>2023</v>
      </c>
      <c r="E13" s="177"/>
      <c r="F13" s="177">
        <v>5803028921.8768272</v>
      </c>
      <c r="G13" s="177"/>
      <c r="H13" s="177">
        <v>228832234.75963032</v>
      </c>
      <c r="I13" s="177">
        <v>155741665.32753611</v>
      </c>
      <c r="J13" s="177"/>
      <c r="K13" s="178"/>
      <c r="L13" s="178">
        <f t="shared" si="0"/>
        <v>6187602821.9639931</v>
      </c>
    </row>
    <row r="14" spans="1:12" ht="20.1" customHeight="1">
      <c r="A14" s="94">
        <v>9</v>
      </c>
      <c r="B14" s="84" t="s">
        <v>340</v>
      </c>
      <c r="C14" s="87">
        <f t="shared" si="1"/>
        <v>2023</v>
      </c>
      <c r="E14" s="177"/>
      <c r="F14" s="177">
        <v>5841153017.7484007</v>
      </c>
      <c r="G14" s="177"/>
      <c r="H14" s="177">
        <v>229338920.76085886</v>
      </c>
      <c r="I14" s="177">
        <v>156322290.11862609</v>
      </c>
      <c r="J14" s="177"/>
      <c r="K14" s="178"/>
      <c r="L14" s="178">
        <f t="shared" si="0"/>
        <v>6226814228.6278849</v>
      </c>
    </row>
    <row r="15" spans="1:12" ht="20.1" customHeight="1">
      <c r="A15" s="94">
        <v>10</v>
      </c>
      <c r="B15" s="84" t="s">
        <v>341</v>
      </c>
      <c r="C15" s="87">
        <f t="shared" si="1"/>
        <v>2023</v>
      </c>
      <c r="E15" s="177"/>
      <c r="F15" s="177">
        <v>5862861696.786006</v>
      </c>
      <c r="G15" s="177"/>
      <c r="H15" s="177">
        <v>229789002.54555985</v>
      </c>
      <c r="I15" s="177">
        <v>157002303.03923365</v>
      </c>
      <c r="J15" s="177"/>
      <c r="K15" s="178"/>
      <c r="L15" s="178">
        <f t="shared" si="0"/>
        <v>6249653002.3707991</v>
      </c>
    </row>
    <row r="16" spans="1:12" ht="20.1" customHeight="1">
      <c r="A16" s="94">
        <v>11</v>
      </c>
      <c r="B16" s="84" t="s">
        <v>343</v>
      </c>
      <c r="C16" s="87">
        <f t="shared" si="1"/>
        <v>2023</v>
      </c>
      <c r="E16" s="177"/>
      <c r="F16" s="177">
        <v>5892876167.0273685</v>
      </c>
      <c r="G16" s="177"/>
      <c r="H16" s="177">
        <v>230239574.00499839</v>
      </c>
      <c r="I16" s="177">
        <v>157570126.28307617</v>
      </c>
      <c r="J16" s="177"/>
      <c r="K16" s="178"/>
      <c r="L16" s="178">
        <f t="shared" si="0"/>
        <v>6280685867.315443</v>
      </c>
    </row>
    <row r="17" spans="1:12" ht="20.1" customHeight="1">
      <c r="A17" s="94">
        <v>12</v>
      </c>
      <c r="B17" s="84" t="s">
        <v>342</v>
      </c>
      <c r="C17" s="87">
        <f t="shared" si="1"/>
        <v>2023</v>
      </c>
      <c r="E17" s="177"/>
      <c r="F17" s="177">
        <v>5907730686.5176773</v>
      </c>
      <c r="G17" s="177"/>
      <c r="H17" s="177">
        <v>230689726.83831882</v>
      </c>
      <c r="I17" s="177">
        <v>158133232.55402982</v>
      </c>
      <c r="J17" s="177"/>
      <c r="K17" s="178"/>
      <c r="L17" s="178">
        <f t="shared" si="0"/>
        <v>6296553645.9100256</v>
      </c>
    </row>
    <row r="18" spans="1:12" ht="20.1" customHeight="1">
      <c r="A18" s="94">
        <v>13</v>
      </c>
      <c r="B18" s="84" t="s">
        <v>333</v>
      </c>
      <c r="C18" s="87">
        <f t="shared" si="1"/>
        <v>2023</v>
      </c>
      <c r="E18" s="177"/>
      <c r="F18" s="177">
        <v>6088314279.8750324</v>
      </c>
      <c r="G18" s="177"/>
      <c r="H18" s="177">
        <v>236350207.76192221</v>
      </c>
      <c r="I18" s="177">
        <v>177817455.36955553</v>
      </c>
      <c r="J18" s="177"/>
      <c r="K18" s="178"/>
      <c r="L18" s="178">
        <f>SUM(E18:J18)</f>
        <v>6502481943.0065098</v>
      </c>
    </row>
    <row r="19" spans="5:12" ht="20.1" customHeight="1">
      <c r="E19" s="179"/>
      <c r="F19" s="179"/>
      <c r="G19" s="179"/>
      <c r="H19" s="179"/>
      <c r="I19" s="179"/>
      <c r="J19" s="179"/>
      <c r="K19" s="178"/>
      <c r="L19" s="178"/>
    </row>
    <row r="20" spans="1:12" ht="20.1" customHeight="1">
      <c r="A20" s="94">
        <v>14</v>
      </c>
      <c r="B20" s="84" t="s">
        <v>363</v>
      </c>
      <c r="E20" s="179">
        <f>SUM(E6:E18)/13</f>
        <v>0</v>
      </c>
      <c r="F20" s="179">
        <f t="shared" si="2" ref="F20:J20">SUM(F6:F18)/13</f>
        <v>5796227361.1715345</v>
      </c>
      <c r="G20" s="179">
        <f t="shared" si="2"/>
        <v>0</v>
      </c>
      <c r="H20" s="179">
        <f t="shared" si="2"/>
        <v>221731640.11824816</v>
      </c>
      <c r="I20" s="179">
        <f t="shared" si="2"/>
        <v>155502976.80545914</v>
      </c>
      <c r="J20" s="179">
        <f t="shared" si="2"/>
        <v>0</v>
      </c>
      <c r="K20" s="179"/>
      <c r="L20" s="179">
        <f>SUM(L6:L18)/13</f>
        <v>6173461978.0952435</v>
      </c>
    </row>
    <row r="21" spans="6:6" ht="20.1" customHeight="1">
      <c r="F21" s="785"/>
    </row>
    <row r="23" spans="2:11" ht="20.1" customHeight="1">
      <c r="B23" s="106" t="s">
        <v>481</v>
      </c>
      <c r="C23" s="107"/>
      <c r="D23" s="107"/>
      <c r="E23" s="108"/>
      <c r="F23" s="108"/>
      <c r="G23" s="109"/>
      <c r="H23" s="84"/>
      <c r="I23" s="84"/>
      <c r="J23" s="84"/>
      <c r="K23" s="84"/>
    </row>
    <row r="24" spans="2:11" ht="20.1" customHeight="1">
      <c r="B24" s="110"/>
      <c r="C24" s="111"/>
      <c r="D24" s="111"/>
      <c r="E24" s="111"/>
      <c r="F24" s="112" t="s">
        <v>33</v>
      </c>
      <c r="G24" s="113"/>
      <c r="H24" s="84"/>
      <c r="I24" s="84"/>
      <c r="J24" s="84"/>
      <c r="K24" s="84"/>
    </row>
    <row r="25" spans="2:11" ht="20.1" customHeight="1">
      <c r="B25" s="110"/>
      <c r="C25" s="111"/>
      <c r="D25" s="111"/>
      <c r="E25" s="111"/>
      <c r="F25" s="112"/>
      <c r="G25" s="113"/>
      <c r="H25" s="84"/>
      <c r="I25" s="84"/>
      <c r="J25" s="84"/>
      <c r="K25" s="84"/>
    </row>
    <row r="26" spans="2:11" ht="20.1" customHeight="1">
      <c r="B26" s="110"/>
      <c r="C26" s="111"/>
      <c r="D26" s="114" t="s">
        <v>364</v>
      </c>
      <c r="E26" s="111"/>
      <c r="F26" s="115" t="s">
        <v>407</v>
      </c>
      <c r="G26" s="113"/>
      <c r="H26" s="84"/>
      <c r="I26" s="84"/>
      <c r="J26" s="84"/>
      <c r="K26" s="84"/>
    </row>
    <row r="27" spans="1:11" ht="20.1" customHeight="1">
      <c r="A27" s="94">
        <v>15</v>
      </c>
      <c r="B27" s="110" t="s">
        <v>333</v>
      </c>
      <c r="C27" s="116">
        <f>C6</f>
        <v>2022</v>
      </c>
      <c r="D27" s="111"/>
      <c r="E27" s="111"/>
      <c r="F27" s="180">
        <v>1831146</v>
      </c>
      <c r="G27" s="113"/>
      <c r="H27" s="84"/>
      <c r="I27" s="84"/>
      <c r="J27" s="84"/>
      <c r="K27" s="84"/>
    </row>
    <row r="28" spans="1:11" ht="20.1" customHeight="1">
      <c r="A28" s="94">
        <v>16</v>
      </c>
      <c r="B28" s="110" t="s">
        <v>334</v>
      </c>
      <c r="C28" s="116">
        <f>C27+1</f>
        <v>2023</v>
      </c>
      <c r="D28" s="111"/>
      <c r="E28" s="111"/>
      <c r="F28" s="180">
        <v>1831146</v>
      </c>
      <c r="G28" s="113"/>
      <c r="H28" s="84"/>
      <c r="I28" s="84"/>
      <c r="J28" s="84"/>
      <c r="K28" s="84"/>
    </row>
    <row r="29" spans="1:11" ht="20.1" customHeight="1">
      <c r="A29" s="94">
        <v>17</v>
      </c>
      <c r="B29" s="110" t="s">
        <v>335</v>
      </c>
      <c r="C29" s="116">
        <f>C28</f>
        <v>2023</v>
      </c>
      <c r="D29" s="111"/>
      <c r="E29" s="111"/>
      <c r="F29" s="180">
        <v>1831146</v>
      </c>
      <c r="G29" s="113"/>
      <c r="H29" s="84"/>
      <c r="I29" s="84"/>
      <c r="J29" s="84"/>
      <c r="K29" s="84"/>
    </row>
    <row r="30" spans="1:11" ht="20.1" customHeight="1">
      <c r="A30" s="94">
        <v>18</v>
      </c>
      <c r="B30" s="110" t="s">
        <v>336</v>
      </c>
      <c r="C30" s="116">
        <f t="shared" si="3" ref="C30:C39">C29</f>
        <v>2023</v>
      </c>
      <c r="D30" s="111"/>
      <c r="E30" s="111"/>
      <c r="F30" s="180">
        <v>1831146</v>
      </c>
      <c r="G30" s="113"/>
      <c r="H30" s="84"/>
      <c r="I30" s="84"/>
      <c r="J30" s="84"/>
      <c r="K30" s="84"/>
    </row>
    <row r="31" spans="1:11" ht="20.1" customHeight="1">
      <c r="A31" s="94">
        <v>19</v>
      </c>
      <c r="B31" s="110" t="s">
        <v>337</v>
      </c>
      <c r="C31" s="116">
        <f t="shared" si="3"/>
        <v>2023</v>
      </c>
      <c r="D31" s="111"/>
      <c r="E31" s="111"/>
      <c r="F31" s="180">
        <v>1831146</v>
      </c>
      <c r="G31" s="113"/>
      <c r="H31" s="84"/>
      <c r="I31" s="84"/>
      <c r="J31" s="84"/>
      <c r="K31" s="84"/>
    </row>
    <row r="32" spans="1:11" ht="20.1" customHeight="1">
      <c r="A32" s="94">
        <v>20</v>
      </c>
      <c r="B32" s="110" t="s">
        <v>338</v>
      </c>
      <c r="C32" s="116">
        <f t="shared" si="3"/>
        <v>2023</v>
      </c>
      <c r="D32" s="111"/>
      <c r="E32" s="111"/>
      <c r="F32" s="180">
        <v>1831146</v>
      </c>
      <c r="G32" s="113"/>
      <c r="H32" s="84"/>
      <c r="I32" s="84"/>
      <c r="J32" s="84"/>
      <c r="K32" s="84"/>
    </row>
    <row r="33" spans="1:11" ht="20.1" customHeight="1">
      <c r="A33" s="94">
        <v>21</v>
      </c>
      <c r="B33" s="110" t="s">
        <v>354</v>
      </c>
      <c r="C33" s="116">
        <f t="shared" si="3"/>
        <v>2023</v>
      </c>
      <c r="D33" s="111"/>
      <c r="E33" s="111"/>
      <c r="F33" s="180">
        <v>1831146</v>
      </c>
      <c r="G33" s="113"/>
      <c r="H33" s="84"/>
      <c r="I33" s="84"/>
      <c r="J33" s="84"/>
      <c r="K33" s="84"/>
    </row>
    <row r="34" spans="1:11" ht="20.1" customHeight="1">
      <c r="A34" s="94">
        <v>22</v>
      </c>
      <c r="B34" s="110" t="s">
        <v>339</v>
      </c>
      <c r="C34" s="116">
        <f t="shared" si="3"/>
        <v>2023</v>
      </c>
      <c r="D34" s="111"/>
      <c r="E34" s="111"/>
      <c r="F34" s="180">
        <v>1831146</v>
      </c>
      <c r="G34" s="113"/>
      <c r="H34" s="84"/>
      <c r="I34" s="84"/>
      <c r="J34" s="84"/>
      <c r="K34" s="84"/>
    </row>
    <row r="35" spans="1:11" ht="20.1" customHeight="1">
      <c r="A35" s="94">
        <v>23</v>
      </c>
      <c r="B35" s="110" t="s">
        <v>340</v>
      </c>
      <c r="C35" s="116">
        <f t="shared" si="3"/>
        <v>2023</v>
      </c>
      <c r="D35" s="111"/>
      <c r="E35" s="111"/>
      <c r="F35" s="180">
        <v>1831146</v>
      </c>
      <c r="G35" s="113"/>
      <c r="H35" s="84"/>
      <c r="I35" s="84"/>
      <c r="J35" s="84"/>
      <c r="K35" s="84"/>
    </row>
    <row r="36" spans="1:11" ht="20.1" customHeight="1">
      <c r="A36" s="94">
        <v>24</v>
      </c>
      <c r="B36" s="110" t="s">
        <v>341</v>
      </c>
      <c r="C36" s="116">
        <f t="shared" si="3"/>
        <v>2023</v>
      </c>
      <c r="D36" s="111"/>
      <c r="E36" s="111"/>
      <c r="F36" s="180">
        <v>1831146</v>
      </c>
      <c r="G36" s="113"/>
      <c r="H36" s="84"/>
      <c r="I36" s="84"/>
      <c r="J36" s="84"/>
      <c r="K36" s="84"/>
    </row>
    <row r="37" spans="1:11" ht="20.1" customHeight="1">
      <c r="A37" s="94">
        <v>25</v>
      </c>
      <c r="B37" s="110" t="s">
        <v>343</v>
      </c>
      <c r="C37" s="116">
        <f t="shared" si="3"/>
        <v>2023</v>
      </c>
      <c r="D37" s="111"/>
      <c r="E37" s="111"/>
      <c r="F37" s="180">
        <v>1831146</v>
      </c>
      <c r="G37" s="113"/>
      <c r="H37" s="84"/>
      <c r="I37" s="84"/>
      <c r="J37" s="84"/>
      <c r="K37" s="84"/>
    </row>
    <row r="38" spans="1:11" ht="20.1" customHeight="1">
      <c r="A38" s="94">
        <v>26</v>
      </c>
      <c r="B38" s="110" t="s">
        <v>342</v>
      </c>
      <c r="C38" s="116">
        <f t="shared" si="3"/>
        <v>2023</v>
      </c>
      <c r="D38" s="111"/>
      <c r="E38" s="111"/>
      <c r="F38" s="180">
        <v>1831146</v>
      </c>
      <c r="G38" s="113"/>
      <c r="H38" s="84"/>
      <c r="I38" s="84"/>
      <c r="J38" s="84"/>
      <c r="K38" s="84"/>
    </row>
    <row r="39" spans="1:11" ht="20.1" customHeight="1">
      <c r="A39" s="94">
        <v>27</v>
      </c>
      <c r="B39" s="110" t="s">
        <v>333</v>
      </c>
      <c r="C39" s="116">
        <f t="shared" si="3"/>
        <v>2023</v>
      </c>
      <c r="D39" s="111"/>
      <c r="E39" s="111"/>
      <c r="F39" s="180">
        <v>1831146</v>
      </c>
      <c r="G39" s="113"/>
      <c r="H39" s="84"/>
      <c r="I39" s="84"/>
      <c r="J39" s="84"/>
      <c r="K39" s="84"/>
    </row>
    <row r="40" spans="2:11" ht="20.1" customHeight="1">
      <c r="B40" s="110"/>
      <c r="C40" s="111"/>
      <c r="D40" s="111"/>
      <c r="E40" s="111"/>
      <c r="F40" s="181"/>
      <c r="G40" s="113"/>
      <c r="H40" s="84"/>
      <c r="I40" s="84"/>
      <c r="J40" s="84"/>
      <c r="K40" s="84"/>
    </row>
    <row r="41" spans="1:11" ht="20.1" customHeight="1">
      <c r="A41" s="94">
        <v>28</v>
      </c>
      <c r="B41" s="117" t="s">
        <v>363</v>
      </c>
      <c r="C41" s="118"/>
      <c r="D41" s="118"/>
      <c r="E41" s="118"/>
      <c r="F41" s="182">
        <f>SUM(F27:F39)/13</f>
        <v>1831146</v>
      </c>
      <c r="G41" s="119"/>
      <c r="H41" s="84"/>
      <c r="I41" s="84"/>
      <c r="J41" s="84"/>
      <c r="K41" s="84"/>
    </row>
    <row r="47" spans="1:1" ht="20.1" customHeight="1">
      <c r="A47" s="84" t="s">
        <v>365</v>
      </c>
    </row>
    <row r="48" spans="1:2" ht="20.1" customHeight="1">
      <c r="A48" s="90" t="s">
        <v>364</v>
      </c>
      <c r="B48" s="84" t="s">
        <v>366</v>
      </c>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fitToHeight="0" fitToWidth="0" orientation="portrait" scale="60"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F27" sqref="F27"/>
    </sheetView>
  </sheetViews>
  <sheetFormatPr defaultColWidth="8.88555555555556" defaultRowHeight="20.1" customHeight="1"/>
  <cols>
    <col min="1" max="1" width="2.88888888888889" style="90" customWidth="1"/>
    <col min="2" max="2" width="10.8888888888889" style="84" customWidth="1"/>
    <col min="3" max="3" width="8.88888888888889" style="84"/>
    <col min="4" max="4" width="2.88888888888889" style="84" customWidth="1"/>
    <col min="5" max="10" width="12.8888888888889" style="90" customWidth="1"/>
    <col min="11" max="11" width="5.88888888888889" style="90" customWidth="1"/>
    <col min="12" max="12" width="13.6666666666667" style="84" customWidth="1"/>
    <col min="13" max="16384" width="8.88888888888889" style="84"/>
  </cols>
  <sheetData>
    <row r="1" spans="1:1" ht="20.1" customHeight="1">
      <c r="A1" s="93" t="str">
        <f ca="1">RIGHT(CELL("filename",D2),LEN(CELL("filename",D2))-FIND("]",CELL("filename",D2)))</f>
        <v>WP02 Accum Depr</v>
      </c>
    </row>
    <row r="2" spans="3:3" ht="20.1" customHeight="1">
      <c r="C2" s="192"/>
    </row>
    <row r="3" spans="5:12" ht="20.1" customHeight="1">
      <c r="E3" s="92" t="s">
        <v>355</v>
      </c>
      <c r="F3" s="92" t="s">
        <v>33</v>
      </c>
      <c r="G3" s="92" t="s">
        <v>356</v>
      </c>
      <c r="H3" s="92" t="s">
        <v>357</v>
      </c>
      <c r="I3" s="92" t="s">
        <v>358</v>
      </c>
      <c r="J3" s="92" t="s">
        <v>359</v>
      </c>
      <c r="K3" s="84"/>
      <c r="L3" s="92" t="s">
        <v>11</v>
      </c>
    </row>
    <row r="4" spans="5:11" ht="20.1" customHeight="1">
      <c r="E4" s="92"/>
      <c r="F4" s="92"/>
      <c r="G4" s="92"/>
      <c r="H4" s="92"/>
      <c r="I4" s="92"/>
      <c r="J4" s="92"/>
      <c r="K4" s="84"/>
    </row>
    <row r="5" spans="4:11" ht="20.1" customHeight="1">
      <c r="D5" s="88" t="s">
        <v>364</v>
      </c>
      <c r="E5" s="91" t="s">
        <v>50</v>
      </c>
      <c r="F5" s="91" t="s">
        <v>367</v>
      </c>
      <c r="G5" s="91" t="s">
        <v>51</v>
      </c>
      <c r="H5" s="91" t="s">
        <v>369</v>
      </c>
      <c r="I5" s="91" t="s">
        <v>368</v>
      </c>
      <c r="J5" s="94">
        <v>356.10000000000002</v>
      </c>
      <c r="K5" s="84"/>
    </row>
    <row r="6" spans="1:12" ht="20.1" customHeight="1">
      <c r="A6" s="94">
        <v>1</v>
      </c>
      <c r="B6" s="84" t="s">
        <v>333</v>
      </c>
      <c r="C6" s="210">
        <f>'WP01 Plant'!C6</f>
        <v>2022</v>
      </c>
      <c r="E6" s="177"/>
      <c r="F6" s="177">
        <v>1297846649</v>
      </c>
      <c r="G6" s="177"/>
      <c r="H6" s="177">
        <v>61047782</v>
      </c>
      <c r="I6" s="177">
        <v>75465134</v>
      </c>
      <c r="J6" s="177"/>
      <c r="K6" s="178"/>
      <c r="L6" s="178">
        <f t="shared" si="0" ref="L6:L18">SUM(E6:J6)</f>
        <v>1434359565</v>
      </c>
    </row>
    <row r="7" spans="1:12" ht="20.1" customHeight="1">
      <c r="A7" s="94">
        <v>2</v>
      </c>
      <c r="B7" s="84" t="s">
        <v>334</v>
      </c>
      <c r="C7" s="87">
        <f>C6+1</f>
        <v>2023</v>
      </c>
      <c r="E7" s="177"/>
      <c r="F7" s="177">
        <v>1306698155</v>
      </c>
      <c r="G7" s="177"/>
      <c r="H7" s="177">
        <v>62204957</v>
      </c>
      <c r="I7" s="177">
        <v>76732944</v>
      </c>
      <c r="J7" s="177"/>
      <c r="K7" s="178"/>
      <c r="L7" s="178">
        <f t="shared" si="0"/>
        <v>1445636056</v>
      </c>
    </row>
    <row r="8" spans="1:12" ht="20.1" customHeight="1">
      <c r="A8" s="94">
        <v>3</v>
      </c>
      <c r="B8" s="84" t="s">
        <v>335</v>
      </c>
      <c r="C8" s="87">
        <f>C7</f>
        <v>2023</v>
      </c>
      <c r="E8" s="177"/>
      <c r="F8" s="177">
        <v>1315325759</v>
      </c>
      <c r="G8" s="177"/>
      <c r="H8" s="177">
        <v>63378233</v>
      </c>
      <c r="I8" s="177">
        <v>78002274</v>
      </c>
      <c r="J8" s="177"/>
      <c r="K8" s="178"/>
      <c r="L8" s="178">
        <f t="shared" si="0"/>
        <v>1456706266</v>
      </c>
    </row>
    <row r="9" spans="1:12" ht="20.1" customHeight="1">
      <c r="A9" s="94">
        <v>4</v>
      </c>
      <c r="B9" s="84" t="s">
        <v>336</v>
      </c>
      <c r="C9" s="87">
        <f t="shared" si="1" ref="C9:C18">C8</f>
        <v>2023</v>
      </c>
      <c r="E9" s="177"/>
      <c r="F9" s="177">
        <v>1322148009</v>
      </c>
      <c r="G9" s="177"/>
      <c r="H9" s="177">
        <v>64547479</v>
      </c>
      <c r="I9" s="177">
        <v>79272337</v>
      </c>
      <c r="J9" s="177"/>
      <c r="K9" s="178"/>
      <c r="L9" s="178">
        <f t="shared" si="0"/>
        <v>1465967825</v>
      </c>
    </row>
    <row r="10" spans="1:12" ht="20.1" customHeight="1">
      <c r="A10" s="94">
        <v>5</v>
      </c>
      <c r="B10" s="84" t="s">
        <v>337</v>
      </c>
      <c r="C10" s="87">
        <f t="shared" si="1"/>
        <v>2023</v>
      </c>
      <c r="E10" s="177"/>
      <c r="F10" s="177">
        <v>1327561155</v>
      </c>
      <c r="G10" s="177"/>
      <c r="H10" s="177">
        <v>65661979</v>
      </c>
      <c r="I10" s="177">
        <v>80544179</v>
      </c>
      <c r="J10" s="177"/>
      <c r="K10" s="178"/>
      <c r="L10" s="178">
        <f t="shared" si="0"/>
        <v>1473767313</v>
      </c>
    </row>
    <row r="11" spans="1:12" ht="20.1" customHeight="1">
      <c r="A11" s="94">
        <v>6</v>
      </c>
      <c r="B11" s="84" t="s">
        <v>338</v>
      </c>
      <c r="C11" s="87">
        <f t="shared" si="1"/>
        <v>2023</v>
      </c>
      <c r="E11" s="177"/>
      <c r="F11" s="177">
        <v>1331467036</v>
      </c>
      <c r="G11" s="177"/>
      <c r="H11" s="177">
        <v>66845260</v>
      </c>
      <c r="I11" s="177">
        <v>81818514</v>
      </c>
      <c r="J11" s="177"/>
      <c r="K11" s="178"/>
      <c r="L11" s="178">
        <f t="shared" si="0"/>
        <v>1480130810</v>
      </c>
    </row>
    <row r="12" spans="1:12" ht="20.1" customHeight="1">
      <c r="A12" s="94">
        <v>7</v>
      </c>
      <c r="B12" s="84" t="s">
        <v>354</v>
      </c>
      <c r="C12" s="87">
        <f t="shared" si="1"/>
        <v>2023</v>
      </c>
      <c r="E12" s="177"/>
      <c r="F12" s="177">
        <v>1338806520</v>
      </c>
      <c r="G12" s="177"/>
      <c r="H12" s="177">
        <v>68030251</v>
      </c>
      <c r="I12" s="177">
        <v>83096340</v>
      </c>
      <c r="J12" s="177"/>
      <c r="K12" s="178"/>
      <c r="L12" s="178">
        <f t="shared" si="0"/>
        <v>1489933111</v>
      </c>
    </row>
    <row r="13" spans="1:12" ht="20.1" customHeight="1">
      <c r="A13" s="94">
        <v>8</v>
      </c>
      <c r="B13" s="84" t="s">
        <v>339</v>
      </c>
      <c r="C13" s="87">
        <f t="shared" si="1"/>
        <v>2023</v>
      </c>
      <c r="E13" s="177"/>
      <c r="F13" s="177">
        <v>1347957954</v>
      </c>
      <c r="G13" s="177"/>
      <c r="H13" s="177">
        <v>68482241</v>
      </c>
      <c r="I13" s="177">
        <v>84125349</v>
      </c>
      <c r="J13" s="177"/>
      <c r="K13" s="178"/>
      <c r="L13" s="178">
        <f t="shared" si="0"/>
        <v>1500565544</v>
      </c>
    </row>
    <row r="14" spans="1:12" ht="20.1" customHeight="1">
      <c r="A14" s="94">
        <v>9</v>
      </c>
      <c r="B14" s="84" t="s">
        <v>340</v>
      </c>
      <c r="C14" s="87">
        <f t="shared" si="1"/>
        <v>2023</v>
      </c>
      <c r="E14" s="177"/>
      <c r="F14" s="177">
        <v>1354828558</v>
      </c>
      <c r="G14" s="177"/>
      <c r="H14" s="177">
        <v>69805173</v>
      </c>
      <c r="I14" s="177">
        <v>85155807</v>
      </c>
      <c r="J14" s="177"/>
      <c r="K14" s="178"/>
      <c r="L14" s="178">
        <f t="shared" si="0"/>
        <v>1509789538</v>
      </c>
    </row>
    <row r="15" spans="1:12" ht="20.1" customHeight="1">
      <c r="A15" s="94">
        <v>10</v>
      </c>
      <c r="B15" s="84" t="s">
        <v>341</v>
      </c>
      <c r="C15" s="87">
        <f t="shared" si="1"/>
        <v>2023</v>
      </c>
      <c r="E15" s="177"/>
      <c r="F15" s="177">
        <v>1362317502</v>
      </c>
      <c r="G15" s="177"/>
      <c r="H15" s="177">
        <v>71133743</v>
      </c>
      <c r="I15" s="177">
        <v>86187547</v>
      </c>
      <c r="J15" s="177"/>
      <c r="K15" s="178"/>
      <c r="L15" s="178">
        <f t="shared" si="0"/>
        <v>1519638792</v>
      </c>
    </row>
    <row r="16" spans="1:12" ht="20.1" customHeight="1">
      <c r="A16" s="94">
        <v>11</v>
      </c>
      <c r="B16" s="84" t="s">
        <v>343</v>
      </c>
      <c r="C16" s="87">
        <f t="shared" si="1"/>
        <v>2023</v>
      </c>
      <c r="E16" s="177"/>
      <c r="F16" s="177">
        <v>1368696925</v>
      </c>
      <c r="G16" s="177"/>
      <c r="H16" s="177">
        <v>72463998</v>
      </c>
      <c r="I16" s="177">
        <v>87220524</v>
      </c>
      <c r="J16" s="177"/>
      <c r="K16" s="178"/>
      <c r="L16" s="178">
        <f t="shared" si="0"/>
        <v>1528381447</v>
      </c>
    </row>
    <row r="17" spans="1:12" ht="20.1" customHeight="1">
      <c r="A17" s="94">
        <v>12</v>
      </c>
      <c r="B17" s="84" t="s">
        <v>342</v>
      </c>
      <c r="C17" s="87">
        <f t="shared" si="1"/>
        <v>2023</v>
      </c>
      <c r="E17" s="177"/>
      <c r="F17" s="177">
        <v>1376937686</v>
      </c>
      <c r="G17" s="177"/>
      <c r="H17" s="177">
        <v>73795995</v>
      </c>
      <c r="I17" s="177">
        <v>88254654</v>
      </c>
      <c r="J17" s="177"/>
      <c r="K17" s="178"/>
      <c r="L17" s="178">
        <f t="shared" si="0"/>
        <v>1538988335</v>
      </c>
    </row>
    <row r="18" spans="1:12" ht="20.1" customHeight="1">
      <c r="A18" s="94">
        <v>13</v>
      </c>
      <c r="B18" s="84" t="s">
        <v>333</v>
      </c>
      <c r="C18" s="87">
        <f t="shared" si="1"/>
        <v>2023</v>
      </c>
      <c r="E18" s="177"/>
      <c r="F18" s="177">
        <v>1374804312</v>
      </c>
      <c r="G18" s="177"/>
      <c r="H18" s="177">
        <v>74803614</v>
      </c>
      <c r="I18" s="177">
        <v>89309097</v>
      </c>
      <c r="J18" s="177"/>
      <c r="K18" s="178"/>
      <c r="L18" s="178">
        <f t="shared" si="0"/>
        <v>1538917023</v>
      </c>
    </row>
    <row r="19" spans="5:12" ht="20.1" customHeight="1">
      <c r="E19" s="179"/>
      <c r="F19" s="179"/>
      <c r="G19" s="179"/>
      <c r="H19" s="179"/>
      <c r="I19" s="179"/>
      <c r="J19" s="179"/>
      <c r="K19" s="178"/>
      <c r="L19" s="178"/>
    </row>
    <row r="20" spans="1:12" ht="20.1" customHeight="1">
      <c r="A20" s="94">
        <v>14</v>
      </c>
      <c r="B20" s="84" t="s">
        <v>363</v>
      </c>
      <c r="E20" s="179">
        <f>SUM(E6:E18)/13</f>
        <v>0</v>
      </c>
      <c r="F20" s="179">
        <f t="shared" si="2" ref="F20:L20">SUM(F6:F18)/13</f>
        <v>1340415093.8461537</v>
      </c>
      <c r="G20" s="179">
        <f t="shared" si="2"/>
        <v>0</v>
      </c>
      <c r="H20" s="179">
        <f t="shared" si="2"/>
        <v>67861592.692307696</v>
      </c>
      <c r="I20" s="179">
        <f t="shared" si="2"/>
        <v>82706515.384615391</v>
      </c>
      <c r="J20" s="179">
        <f t="shared" si="2"/>
        <v>0</v>
      </c>
      <c r="K20" s="179"/>
      <c r="L20" s="179">
        <f t="shared" si="2"/>
        <v>1490983201.9230769</v>
      </c>
    </row>
    <row r="23" spans="2:13" ht="20.1" customHeight="1">
      <c r="B23" s="106" t="s">
        <v>409</v>
      </c>
      <c r="C23" s="107"/>
      <c r="D23" s="107"/>
      <c r="E23" s="108"/>
      <c r="F23" s="108"/>
      <c r="G23" s="108"/>
      <c r="H23" s="134"/>
      <c r="I23" s="134"/>
      <c r="K23" s="134"/>
      <c r="L23" s="135"/>
      <c r="M23" s="135"/>
    </row>
    <row r="24" spans="2:11" ht="20.1" customHeight="1">
      <c r="B24" s="110"/>
      <c r="C24" s="111"/>
      <c r="D24" s="111"/>
      <c r="E24" s="111"/>
      <c r="F24" s="112" t="s">
        <v>33</v>
      </c>
      <c r="G24" s="113"/>
      <c r="H24" s="84"/>
      <c r="I24" s="84"/>
      <c r="J24" s="84"/>
      <c r="K24" s="84"/>
    </row>
    <row r="25" spans="2:11" ht="20.1" customHeight="1">
      <c r="B25" s="110"/>
      <c r="C25" s="111"/>
      <c r="D25" s="111"/>
      <c r="E25" s="111"/>
      <c r="F25" s="112"/>
      <c r="G25" s="113"/>
      <c r="H25" s="84"/>
      <c r="I25" s="84"/>
      <c r="J25" s="84"/>
      <c r="K25" s="84"/>
    </row>
    <row r="26" spans="2:11" ht="20.1" customHeight="1">
      <c r="B26" s="110"/>
      <c r="C26" s="111"/>
      <c r="D26" s="114" t="s">
        <v>364</v>
      </c>
      <c r="E26" s="111"/>
      <c r="F26" s="115" t="s">
        <v>408</v>
      </c>
      <c r="G26" s="113"/>
      <c r="H26" s="84"/>
      <c r="I26" s="84"/>
      <c r="J26" s="84"/>
      <c r="K26" s="84"/>
    </row>
    <row r="27" spans="1:11" ht="20.1" customHeight="1">
      <c r="A27" s="94">
        <v>15</v>
      </c>
      <c r="B27" s="110" t="s">
        <v>333</v>
      </c>
      <c r="C27" s="566">
        <f>C6</f>
        <v>2022</v>
      </c>
      <c r="D27" s="111"/>
      <c r="E27" s="111"/>
      <c r="F27" s="180">
        <v>1828487.1448387092</v>
      </c>
      <c r="G27" s="113"/>
      <c r="H27" s="84"/>
      <c r="I27" s="84"/>
      <c r="J27" s="84"/>
      <c r="K27" s="84"/>
    </row>
    <row r="28" spans="1:11" ht="20.1" customHeight="1">
      <c r="A28" s="94">
        <v>16</v>
      </c>
      <c r="B28" s="110" t="s">
        <v>334</v>
      </c>
      <c r="C28" s="116">
        <f>C27+1</f>
        <v>2023</v>
      </c>
      <c r="D28" s="111"/>
      <c r="E28" s="111"/>
      <c r="F28" s="180">
        <v>1828523.819806451</v>
      </c>
      <c r="G28" s="113"/>
      <c r="H28" s="84"/>
      <c r="I28" s="84"/>
      <c r="J28" s="84"/>
      <c r="K28" s="84"/>
    </row>
    <row r="29" spans="1:11" ht="20.1" customHeight="1">
      <c r="A29" s="94">
        <v>17</v>
      </c>
      <c r="B29" s="110" t="s">
        <v>335</v>
      </c>
      <c r="C29" s="116">
        <f>C28</f>
        <v>2023</v>
      </c>
      <c r="D29" s="111"/>
      <c r="E29" s="111"/>
      <c r="F29" s="180">
        <v>1828560.4947741928</v>
      </c>
      <c r="G29" s="113"/>
      <c r="H29" s="84"/>
      <c r="I29" s="84"/>
      <c r="J29" s="84"/>
      <c r="K29" s="84"/>
    </row>
    <row r="30" spans="1:11" ht="20.1" customHeight="1">
      <c r="A30" s="94">
        <v>18</v>
      </c>
      <c r="B30" s="110" t="s">
        <v>336</v>
      </c>
      <c r="C30" s="116">
        <f t="shared" si="3" ref="C30:C39">C29</f>
        <v>2023</v>
      </c>
      <c r="D30" s="111"/>
      <c r="E30" s="111"/>
      <c r="F30" s="180">
        <v>1828597.1697419346</v>
      </c>
      <c r="G30" s="113"/>
      <c r="H30" s="84"/>
      <c r="I30" s="84"/>
      <c r="J30" s="84"/>
      <c r="K30" s="84"/>
    </row>
    <row r="31" spans="1:11" ht="20.1" customHeight="1">
      <c r="A31" s="94">
        <v>19</v>
      </c>
      <c r="B31" s="110" t="s">
        <v>337</v>
      </c>
      <c r="C31" s="116">
        <f t="shared" si="3"/>
        <v>2023</v>
      </c>
      <c r="D31" s="111"/>
      <c r="E31" s="111"/>
      <c r="F31" s="180">
        <v>1828633.8447096765</v>
      </c>
      <c r="G31" s="113"/>
      <c r="H31" s="84"/>
      <c r="I31" s="84"/>
      <c r="J31" s="84"/>
      <c r="K31" s="84"/>
    </row>
    <row r="32" spans="1:11" ht="20.1" customHeight="1">
      <c r="A32" s="94">
        <v>20</v>
      </c>
      <c r="B32" s="110" t="s">
        <v>338</v>
      </c>
      <c r="C32" s="116">
        <f t="shared" si="3"/>
        <v>2023</v>
      </c>
      <c r="D32" s="111"/>
      <c r="E32" s="111"/>
      <c r="F32" s="180">
        <v>1828670.5196774183</v>
      </c>
      <c r="G32" s="113"/>
      <c r="H32" s="84"/>
      <c r="I32" s="84"/>
      <c r="J32" s="84"/>
      <c r="K32" s="84"/>
    </row>
    <row r="33" spans="1:11" ht="20.1" customHeight="1">
      <c r="A33" s="94">
        <v>21</v>
      </c>
      <c r="B33" s="110" t="s">
        <v>354</v>
      </c>
      <c r="C33" s="116">
        <f t="shared" si="3"/>
        <v>2023</v>
      </c>
      <c r="D33" s="111"/>
      <c r="E33" s="111"/>
      <c r="F33" s="180">
        <v>1828707.1946451601</v>
      </c>
      <c r="G33" s="113"/>
      <c r="H33" s="84"/>
      <c r="I33" s="84"/>
      <c r="J33" s="84"/>
      <c r="K33" s="84"/>
    </row>
    <row r="34" spans="1:11" ht="20.1" customHeight="1">
      <c r="A34" s="94">
        <v>22</v>
      </c>
      <c r="B34" s="110" t="s">
        <v>339</v>
      </c>
      <c r="C34" s="116">
        <f t="shared" si="3"/>
        <v>2023</v>
      </c>
      <c r="D34" s="111"/>
      <c r="E34" s="111"/>
      <c r="F34" s="180">
        <v>1828743.8696129019</v>
      </c>
      <c r="G34" s="113"/>
      <c r="H34" s="84"/>
      <c r="I34" s="84"/>
      <c r="J34" s="84"/>
      <c r="K34" s="84"/>
    </row>
    <row r="35" spans="1:11" ht="20.1" customHeight="1">
      <c r="A35" s="94">
        <v>23</v>
      </c>
      <c r="B35" s="110" t="s">
        <v>340</v>
      </c>
      <c r="C35" s="116">
        <f t="shared" si="3"/>
        <v>2023</v>
      </c>
      <c r="D35" s="111"/>
      <c r="E35" s="111"/>
      <c r="F35" s="180">
        <v>1828780.5445806438</v>
      </c>
      <c r="G35" s="113"/>
      <c r="H35" s="84"/>
      <c r="I35" s="84"/>
      <c r="J35" s="84"/>
      <c r="K35" s="84"/>
    </row>
    <row r="36" spans="1:11" ht="20.1" customHeight="1">
      <c r="A36" s="94">
        <v>24</v>
      </c>
      <c r="B36" s="110" t="s">
        <v>341</v>
      </c>
      <c r="C36" s="116">
        <f t="shared" si="3"/>
        <v>2023</v>
      </c>
      <c r="D36" s="111"/>
      <c r="E36" s="111"/>
      <c r="F36" s="180">
        <v>1828817.2195483856</v>
      </c>
      <c r="G36" s="113"/>
      <c r="H36" s="84"/>
      <c r="I36" s="84"/>
      <c r="J36" s="84"/>
      <c r="K36" s="84"/>
    </row>
    <row r="37" spans="1:11" ht="20.1" customHeight="1">
      <c r="A37" s="94">
        <v>25</v>
      </c>
      <c r="B37" s="110" t="s">
        <v>343</v>
      </c>
      <c r="C37" s="116">
        <f t="shared" si="3"/>
        <v>2023</v>
      </c>
      <c r="D37" s="111"/>
      <c r="E37" s="111"/>
      <c r="F37" s="180">
        <v>1828853.8945161274</v>
      </c>
      <c r="G37" s="113"/>
      <c r="H37" s="84"/>
      <c r="I37" s="84"/>
      <c r="J37" s="84"/>
      <c r="K37" s="84"/>
    </row>
    <row r="38" spans="1:11" ht="20.1" customHeight="1">
      <c r="A38" s="94">
        <v>26</v>
      </c>
      <c r="B38" s="110" t="s">
        <v>342</v>
      </c>
      <c r="C38" s="116">
        <f t="shared" si="3"/>
        <v>2023</v>
      </c>
      <c r="D38" s="111"/>
      <c r="E38" s="111"/>
      <c r="F38" s="180">
        <v>1828890.5694838692</v>
      </c>
      <c r="G38" s="113"/>
      <c r="H38" s="84"/>
      <c r="I38" s="84"/>
      <c r="J38" s="84"/>
      <c r="K38" s="84"/>
    </row>
    <row r="39" spans="1:11" ht="20.1" customHeight="1">
      <c r="A39" s="94">
        <v>27</v>
      </c>
      <c r="B39" s="110" t="s">
        <v>333</v>
      </c>
      <c r="C39" s="116">
        <f t="shared" si="3"/>
        <v>2023</v>
      </c>
      <c r="D39" s="111"/>
      <c r="E39" s="111"/>
      <c r="F39" s="180">
        <v>1828927.2444516111</v>
      </c>
      <c r="G39" s="113"/>
      <c r="H39" s="84"/>
      <c r="I39" s="84"/>
      <c r="J39" s="84"/>
      <c r="K39" s="84"/>
    </row>
    <row r="40" spans="2:11" ht="20.1" customHeight="1">
      <c r="B40" s="110"/>
      <c r="C40" s="111"/>
      <c r="D40" s="111"/>
      <c r="E40" s="111"/>
      <c r="F40" s="181"/>
      <c r="G40" s="113"/>
      <c r="H40" s="84"/>
      <c r="I40" s="84"/>
      <c r="J40" s="84"/>
      <c r="K40" s="84"/>
    </row>
    <row r="41" spans="1:11" ht="20.1" customHeight="1">
      <c r="A41" s="94">
        <v>28</v>
      </c>
      <c r="B41" s="117" t="s">
        <v>363</v>
      </c>
      <c r="C41" s="118"/>
      <c r="D41" s="118"/>
      <c r="E41" s="118"/>
      <c r="F41" s="182">
        <f>SUM(F27:F39)/13</f>
        <v>1828707.1946451603</v>
      </c>
      <c r="G41" s="119"/>
      <c r="H41" s="84"/>
      <c r="I41" s="84"/>
      <c r="J41" s="84"/>
      <c r="K41" s="84"/>
    </row>
    <row r="47" spans="1:1" ht="20.1" customHeight="1">
      <c r="A47" s="84" t="s">
        <v>365</v>
      </c>
    </row>
    <row r="48" spans="1:2" ht="20.1" customHeight="1">
      <c r="A48" s="90" t="s">
        <v>364</v>
      </c>
      <c r="B48" s="84" t="s">
        <v>366</v>
      </c>
    </row>
  </sheetData>
  <customSheetViews>
    <customSheetView guid="{e1861f40-ebd5-44ae-868b-fde0ed504d72}" scale="85" topLeftCell="A1">
      <selection pane="topLeft" activeCell="E9" sqref="E9"/>
      <pageMargins left="0.7" right="0.7" top="0.75" bottom="0.75" header="0.3" footer="0.3"/>
      <pageSetup fitToHeight="0" fitToWidth="0" orientation="portrait" scale="55" r:id="rId2"/>
    </customSheetView>
  </customSheetViews>
  <pageMargins left="0.7" right="0.7" top="0.75" bottom="0.75" header="0.3" footer="0.3"/>
  <pageSetup fitToHeight="0" fitToWidth="0" orientation="portrait" scale="6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N69"/>
  <sheetViews>
    <sheetView view="pageBreakPreview" zoomScale="60" zoomScaleNormal="85" workbookViewId="0" topLeftCell="A1">
      <selection pane="topLeft" activeCell="K9" sqref="K9"/>
    </sheetView>
  </sheetViews>
  <sheetFormatPr defaultColWidth="8.88555555555556" defaultRowHeight="20.1" customHeight="1"/>
  <cols>
    <col min="1" max="1" width="5.44444444444444" style="695" customWidth="1"/>
    <col min="2" max="2" width="33.1111111111111" style="84" bestFit="1" customWidth="1"/>
    <col min="3" max="3" width="5.88888888888889" style="212" bestFit="1" customWidth="1"/>
    <col min="4" max="4" width="3.11111111111111" style="84" bestFit="1" customWidth="1"/>
    <col min="5" max="5" width="15.5555555555556" style="90" customWidth="1"/>
    <col min="6" max="7" width="18.7777777777778" style="90" bestFit="1" customWidth="1"/>
    <col min="8" max="8" width="16" style="90" bestFit="1" customWidth="1"/>
    <col min="9" max="9" width="13.2222222222222" style="90" bestFit="1" customWidth="1"/>
    <col min="10" max="10" width="17.3333333333333" style="84" customWidth="1"/>
    <col min="11" max="11" width="17.1111111111111" style="84" customWidth="1"/>
    <col min="12" max="12" width="14.3333333333333" style="84" bestFit="1" customWidth="1"/>
    <col min="13" max="13" width="17.3333333333333" style="84" customWidth="1"/>
    <col min="14" max="14" width="14.3333333333333" style="84" bestFit="1" customWidth="1"/>
    <col min="15" max="16384" width="8.88888888888889" style="84"/>
  </cols>
  <sheetData>
    <row r="1" spans="1:1" ht="20.1" customHeight="1">
      <c r="A1" s="694" t="str">
        <f ca="1">RIGHT(CELL("filename",D2),LEN(CELL("filename",D2))-FIND("]",CELL("filename",D2)))</f>
        <v>WP03 ADIT</v>
      </c>
    </row>
    <row r="2" spans="1:14" s="230" customFormat="1" ht="20.1" customHeight="1">
      <c r="A2" s="695"/>
      <c r="B2" s="84"/>
      <c r="C2" s="677"/>
      <c r="D2" s="84"/>
      <c r="E2" s="90"/>
      <c r="F2" s="90"/>
      <c r="G2" s="90"/>
      <c r="H2" s="90"/>
      <c r="I2" s="90"/>
      <c r="J2" s="84"/>
      <c r="K2" s="84"/>
      <c r="L2" s="84"/>
      <c r="M2" s="84"/>
      <c r="N2" s="84"/>
    </row>
    <row r="3" spans="1:14" s="230" customFormat="1" ht="20.1" customHeight="1">
      <c r="A3" s="695"/>
      <c r="B3" s="84"/>
      <c r="C3" s="212"/>
      <c r="D3" s="84"/>
      <c r="E3" s="673" t="s">
        <v>370</v>
      </c>
      <c r="F3" s="673" t="s">
        <v>371</v>
      </c>
      <c r="G3" s="673" t="s">
        <v>372</v>
      </c>
      <c r="H3" s="673" t="s">
        <v>373</v>
      </c>
      <c r="I3" s="673" t="s">
        <v>374</v>
      </c>
      <c r="J3" s="84"/>
      <c r="K3" s="673"/>
      <c r="L3" s="673"/>
      <c r="M3" s="673"/>
      <c r="N3" s="673"/>
    </row>
    <row r="4" spans="1:14" s="230" customFormat="1" ht="20.1" customHeight="1">
      <c r="A4" s="695"/>
      <c r="B4" s="84"/>
      <c r="C4" s="212"/>
      <c r="D4" s="703" t="s">
        <v>364</v>
      </c>
      <c r="E4" s="90" t="s">
        <v>56</v>
      </c>
      <c r="F4" s="90" t="s">
        <v>594</v>
      </c>
      <c r="G4" s="90" t="s">
        <v>595</v>
      </c>
      <c r="H4" s="90" t="s">
        <v>596</v>
      </c>
      <c r="I4" s="90" t="s">
        <v>597</v>
      </c>
      <c r="J4" s="84"/>
      <c r="K4" s="84"/>
      <c r="L4" s="84"/>
      <c r="M4" s="84"/>
      <c r="N4" s="84"/>
    </row>
    <row r="5" spans="1:14" s="230" customFormat="1" ht="20.1" customHeight="1">
      <c r="A5" s="695"/>
      <c r="B5" s="84" t="s">
        <v>795</v>
      </c>
      <c r="C5" s="212"/>
      <c r="D5" s="703"/>
      <c r="E5" s="90"/>
      <c r="F5" s="90"/>
      <c r="G5" s="90"/>
      <c r="H5" s="90"/>
      <c r="I5" s="90"/>
      <c r="J5" s="84"/>
      <c r="K5" s="84"/>
      <c r="L5" s="84"/>
      <c r="M5" s="84"/>
      <c r="N5" s="84"/>
    </row>
    <row r="6" spans="1:14" s="230" customFormat="1" ht="20.1" customHeight="1">
      <c r="A6" s="695">
        <v>1</v>
      </c>
      <c r="B6" s="97" t="s">
        <v>376</v>
      </c>
      <c r="C6" s="677">
        <f>C7-1</f>
        <v>2022</v>
      </c>
      <c r="D6" s="703"/>
      <c r="E6" s="689"/>
      <c r="F6" s="689">
        <f>'WP03-B ADIT Detail'!C52</f>
        <v>715960549.79139972</v>
      </c>
      <c r="G6" s="689">
        <f>'WP03-B ADIT Detail'!C84+'WP03-B ADIT Detail'!I84</f>
        <v>-59849058.032335564</v>
      </c>
      <c r="H6" s="689">
        <f>'WP03-B ADIT Detail'!C21+'WP03-B ADIT Detail'!I21</f>
        <v>79484472.19910197</v>
      </c>
      <c r="I6" s="689"/>
      <c r="J6" s="84"/>
      <c r="K6" s="84"/>
      <c r="L6" s="84"/>
      <c r="M6" s="84"/>
      <c r="N6" s="84"/>
    </row>
    <row r="7" spans="1:14" s="230" customFormat="1" ht="20.1" customHeight="1">
      <c r="A7" s="695">
        <v>2</v>
      </c>
      <c r="B7" s="97" t="s">
        <v>376</v>
      </c>
      <c r="C7" s="210">
        <f>'WP01 Plant'!C18</f>
        <v>2023</v>
      </c>
      <c r="D7" s="703"/>
      <c r="E7" s="689"/>
      <c r="F7" s="689">
        <f>'WP03-B ADIT Detail'!G52</f>
        <v>753168643.65610015</v>
      </c>
      <c r="G7" s="689">
        <f>'WP03-B ADIT Detail'!G84+'WP03-B ADIT Detail'!J84</f>
        <v>-58611806.109488636</v>
      </c>
      <c r="H7" s="689">
        <f>'WP03-B ADIT Detail'!G21+'WP03-B ADIT Detail'!J21</f>
        <v>47366454.339430615</v>
      </c>
      <c r="I7" s="689"/>
      <c r="J7" s="84"/>
      <c r="K7" s="84"/>
      <c r="L7" s="84"/>
      <c r="M7" s="84"/>
      <c r="N7" s="84"/>
    </row>
    <row r="8" spans="1:14" s="230" customFormat="1" ht="20.1" customHeight="1">
      <c r="A8" s="695"/>
      <c r="B8" s="84"/>
      <c r="C8" s="212"/>
      <c r="D8" s="703"/>
      <c r="E8" s="90"/>
      <c r="F8" s="90"/>
      <c r="G8" s="90"/>
      <c r="H8" s="90"/>
      <c r="I8" s="90"/>
      <c r="J8" s="84"/>
      <c r="K8" s="84"/>
      <c r="L8" s="84"/>
      <c r="M8" s="84"/>
      <c r="N8" s="84"/>
    </row>
    <row r="9" spans="1:14" s="230" customFormat="1" ht="20.1" customHeight="1">
      <c r="A9" s="695"/>
      <c r="B9" s="97" t="s">
        <v>825</v>
      </c>
      <c r="C9" s="212"/>
      <c r="D9" s="703"/>
      <c r="E9" s="90"/>
      <c r="F9" s="90"/>
      <c r="G9" s="90"/>
      <c r="H9" s="90"/>
      <c r="I9" s="90"/>
      <c r="J9" s="84"/>
      <c r="K9" s="84"/>
      <c r="L9" s="84"/>
      <c r="M9" s="84"/>
      <c r="N9" s="84"/>
    </row>
    <row r="10" spans="1:14" s="230" customFormat="1" ht="20.1" customHeight="1">
      <c r="A10" s="695">
        <v>3</v>
      </c>
      <c r="B10" s="97" t="s">
        <v>376</v>
      </c>
      <c r="C10" s="677">
        <f>C7</f>
        <v>2023</v>
      </c>
      <c r="D10" s="84"/>
      <c r="E10" s="689"/>
      <c r="F10" s="705">
        <f>'WP03-B ADIT Detail'!G52</f>
        <v>753168643.65610015</v>
      </c>
      <c r="G10" s="705">
        <f>'WP03-B ADIT Detail'!G84</f>
        <v>-75475606.195599884</v>
      </c>
      <c r="H10" s="705">
        <f>'WP03-B ADIT Detail'!G21</f>
        <v>46357945.73397278</v>
      </c>
      <c r="I10" s="689"/>
      <c r="J10" s="704"/>
      <c r="K10" s="704"/>
      <c r="L10" s="704"/>
      <c r="M10" s="704"/>
      <c r="N10" s="704"/>
    </row>
    <row r="11" spans="1:14" s="230" customFormat="1" ht="20.1" customHeight="1">
      <c r="A11" s="695"/>
      <c r="B11" s="97"/>
      <c r="C11" s="677"/>
      <c r="D11" s="192"/>
      <c r="E11" s="705"/>
      <c r="F11" s="705"/>
      <c r="G11" s="705"/>
      <c r="H11" s="705"/>
      <c r="I11" s="705"/>
      <c r="J11" s="704"/>
      <c r="K11" s="706"/>
      <c r="L11" s="706"/>
      <c r="M11" s="706"/>
      <c r="N11" s="706"/>
    </row>
    <row r="12" spans="1:14" s="230" customFormat="1" ht="20.1" customHeight="1">
      <c r="A12" s="695"/>
      <c r="B12" s="97" t="s">
        <v>826</v>
      </c>
      <c r="C12" s="677"/>
      <c r="D12" s="192"/>
      <c r="E12" s="705"/>
      <c r="F12" s="705"/>
      <c r="G12" s="705"/>
      <c r="H12" s="705"/>
      <c r="I12" s="705"/>
      <c r="J12" s="704"/>
      <c r="K12" s="706"/>
      <c r="L12" s="706"/>
      <c r="M12" s="706"/>
      <c r="N12" s="706"/>
    </row>
    <row r="13" spans="1:14" s="232" customFormat="1" ht="20.1" customHeight="1">
      <c r="A13" s="695">
        <v>4</v>
      </c>
      <c r="B13" s="97" t="s">
        <v>376</v>
      </c>
      <c r="C13" s="677">
        <f>C14-1</f>
        <v>2022</v>
      </c>
      <c r="D13" s="192"/>
      <c r="E13" s="689"/>
      <c r="F13" s="705">
        <f>'WP03-B ADIT Detail'!I52+'WP03-B ADIT Detail'!I65</f>
        <v>0</v>
      </c>
      <c r="G13" s="705">
        <f>'WP03-B ADIT Detail'!I84</f>
        <v>17929236.43717147</v>
      </c>
      <c r="H13" s="705">
        <f>'WP03-B ADIT Detail'!I21</f>
        <v>10488262.516943589</v>
      </c>
      <c r="I13" s="689"/>
      <c r="J13" s="790"/>
      <c r="K13" s="706"/>
      <c r="L13" s="706"/>
      <c r="M13" s="706"/>
      <c r="N13" s="706"/>
    </row>
    <row r="14" spans="1:14" s="230" customFormat="1" ht="20.1" customHeight="1">
      <c r="A14" s="695">
        <v>5</v>
      </c>
      <c r="B14" s="97" t="s">
        <v>376</v>
      </c>
      <c r="C14" s="677">
        <f>C10</f>
        <v>2023</v>
      </c>
      <c r="D14" s="84"/>
      <c r="E14" s="689"/>
      <c r="F14" s="705">
        <f>'WP03-B ADIT Detail'!J52+'WP03-B ADIT Detail'!J65</f>
        <v>0</v>
      </c>
      <c r="G14" s="705">
        <f>'WP03-B ADIT Detail'!J84</f>
        <v>16863800.086111244</v>
      </c>
      <c r="H14" s="705">
        <f>'WP03-B ADIT Detail'!J21</f>
        <v>1008508.6054578369</v>
      </c>
      <c r="I14" s="689"/>
      <c r="J14" s="790"/>
      <c r="K14" s="192"/>
      <c r="L14" s="192"/>
      <c r="M14" s="192"/>
      <c r="N14" s="192"/>
    </row>
    <row r="15" spans="1:14" s="232" customFormat="1" ht="20.1" customHeight="1" thickBot="1">
      <c r="A15" s="699"/>
      <c r="B15" s="231"/>
      <c r="C15" s="677"/>
      <c r="D15" s="192"/>
      <c r="E15" s="705"/>
      <c r="F15" s="705"/>
      <c r="G15" s="705"/>
      <c r="H15" s="705"/>
      <c r="I15" s="705"/>
      <c r="J15" s="706"/>
      <c r="K15" s="192"/>
      <c r="L15" s="192"/>
      <c r="M15" s="192"/>
      <c r="N15" s="192"/>
    </row>
    <row r="16" spans="1:14" s="232" customFormat="1" ht="20.1" customHeight="1">
      <c r="A16" s="696" t="s">
        <v>711</v>
      </c>
      <c r="B16" s="233"/>
      <c r="C16" s="678"/>
      <c r="D16" s="234"/>
      <c r="E16" s="707"/>
      <c r="F16" s="707"/>
      <c r="G16" s="707"/>
      <c r="H16" s="707"/>
      <c r="I16" s="707"/>
      <c r="J16" s="708"/>
      <c r="K16" s="709"/>
      <c r="L16" s="706"/>
      <c r="M16" s="706"/>
      <c r="N16" s="706"/>
    </row>
    <row r="17" spans="1:14" s="232" customFormat="1" ht="20.1" customHeight="1" thickBot="1">
      <c r="A17" s="697" t="s">
        <v>598</v>
      </c>
      <c r="B17" s="235"/>
      <c r="C17" s="679"/>
      <c r="D17" s="236"/>
      <c r="E17" s="710"/>
      <c r="F17" s="710"/>
      <c r="G17" s="710"/>
      <c r="H17" s="710"/>
      <c r="I17" s="710"/>
      <c r="J17" s="711"/>
      <c r="K17" s="712"/>
      <c r="L17" s="706"/>
      <c r="M17" s="706"/>
      <c r="N17" s="706"/>
    </row>
    <row r="18" spans="1:14" s="230" customFormat="1" ht="20.1" customHeight="1">
      <c r="A18" s="698"/>
      <c r="B18" s="111"/>
      <c r="C18" s="680"/>
      <c r="D18" s="111"/>
      <c r="E18" s="112" t="s">
        <v>377</v>
      </c>
      <c r="F18" s="112" t="s">
        <v>377</v>
      </c>
      <c r="G18" s="112" t="s">
        <v>377</v>
      </c>
      <c r="H18" s="112"/>
      <c r="I18" s="112" t="s">
        <v>377</v>
      </c>
      <c r="J18" s="111"/>
      <c r="K18" s="237" t="s">
        <v>11</v>
      </c>
      <c r="L18" s="84"/>
      <c r="M18" s="84"/>
      <c r="N18" s="84"/>
    </row>
    <row r="19" spans="1:14" s="230" customFormat="1" ht="20.1" customHeight="1">
      <c r="A19" s="698"/>
      <c r="B19" s="111"/>
      <c r="C19" s="680"/>
      <c r="D19" s="713"/>
      <c r="E19" s="714"/>
      <c r="F19" s="714" t="s">
        <v>378</v>
      </c>
      <c r="G19" s="714" t="s">
        <v>507</v>
      </c>
      <c r="H19" s="714" t="s">
        <v>548</v>
      </c>
      <c r="I19" s="714" t="s">
        <v>551</v>
      </c>
      <c r="J19" s="111"/>
      <c r="K19" s="238"/>
      <c r="L19" s="84"/>
      <c r="M19" s="84"/>
      <c r="N19" s="84"/>
    </row>
    <row r="20" spans="1:14" s="230" customFormat="1" ht="20.1" customHeight="1">
      <c r="A20" s="698"/>
      <c r="B20" s="97" t="s">
        <v>825</v>
      </c>
      <c r="C20" s="680"/>
      <c r="D20" s="713"/>
      <c r="E20" s="714"/>
      <c r="F20" s="714"/>
      <c r="G20" s="714"/>
      <c r="H20" s="714"/>
      <c r="I20" s="714"/>
      <c r="J20" s="111"/>
      <c r="K20" s="238"/>
      <c r="L20" s="84"/>
      <c r="M20" s="84"/>
      <c r="N20" s="84"/>
    </row>
    <row r="21" spans="1:14" s="230" customFormat="1" ht="20.1" customHeight="1">
      <c r="A21" s="695">
        <v>6</v>
      </c>
      <c r="B21" s="97" t="s">
        <v>376</v>
      </c>
      <c r="C21" s="681">
        <f>C10</f>
        <v>2023</v>
      </c>
      <c r="D21" s="111"/>
      <c r="E21" s="715">
        <f>-(E10)</f>
        <v>0</v>
      </c>
      <c r="F21" s="715">
        <f>-(F10-SUM(E39:M39))</f>
        <v>-1000467118.9231166</v>
      </c>
      <c r="G21" s="715">
        <f>-(G10-SUM(E50:J50))</f>
        <v>-342692.67191496491</v>
      </c>
      <c r="H21" s="715">
        <f>H10-SUM(E61:K61)</f>
        <v>58735991.044128582</v>
      </c>
      <c r="I21" s="715">
        <f>-(I10)</f>
        <v>0</v>
      </c>
      <c r="J21" s="716"/>
      <c r="K21" s="717"/>
      <c r="L21" s="704"/>
      <c r="M21" s="704"/>
      <c r="N21" s="704"/>
    </row>
    <row r="22" spans="1:14" s="232" customFormat="1" ht="20.1" customHeight="1">
      <c r="A22" s="718"/>
      <c r="B22" s="97"/>
      <c r="C22" s="681"/>
      <c r="D22" s="675"/>
      <c r="E22" s="715"/>
      <c r="F22" s="715"/>
      <c r="G22" s="715"/>
      <c r="H22" s="715"/>
      <c r="I22" s="715"/>
      <c r="J22" s="719"/>
      <c r="K22" s="720"/>
      <c r="L22" s="706"/>
      <c r="M22" s="706"/>
      <c r="N22" s="706"/>
    </row>
    <row r="23" spans="1:14" s="232" customFormat="1" ht="20.1" customHeight="1">
      <c r="A23" s="718"/>
      <c r="B23" s="97" t="s">
        <v>826</v>
      </c>
      <c r="C23" s="681"/>
      <c r="D23" s="675"/>
      <c r="E23" s="715"/>
      <c r="F23" s="715"/>
      <c r="G23" s="715"/>
      <c r="H23" s="715"/>
      <c r="I23" s="715"/>
      <c r="J23" s="719"/>
      <c r="K23" s="720"/>
      <c r="L23" s="706"/>
      <c r="M23" s="706"/>
      <c r="N23" s="706"/>
    </row>
    <row r="24" spans="1:14" s="230" customFormat="1" ht="20.1" customHeight="1">
      <c r="A24" s="695">
        <v>7</v>
      </c>
      <c r="B24" s="97" t="s">
        <v>376</v>
      </c>
      <c r="C24" s="681">
        <f>C13</f>
        <v>2022</v>
      </c>
      <c r="D24" s="111"/>
      <c r="E24" s="715">
        <f>-(E13)</f>
        <v>0</v>
      </c>
      <c r="F24" s="715">
        <f>-(F13-SUM(E42:L42))</f>
        <v>0</v>
      </c>
      <c r="G24" s="715">
        <f>-(G13-SUM(E53:I53))</f>
        <v>-9493424.8971904702</v>
      </c>
      <c r="H24" s="715">
        <f>H13-SUM(E64:J64)</f>
        <v>39280377.198824883</v>
      </c>
      <c r="I24" s="715">
        <f>-(I13)</f>
        <v>0</v>
      </c>
      <c r="J24" s="716"/>
      <c r="K24" s="717"/>
      <c r="L24" s="704"/>
      <c r="M24" s="704"/>
      <c r="N24" s="704"/>
    </row>
    <row r="25" spans="1:14" s="230" customFormat="1" ht="20.1" customHeight="1">
      <c r="A25" s="695">
        <v>8</v>
      </c>
      <c r="B25" s="97" t="s">
        <v>376</v>
      </c>
      <c r="C25" s="681">
        <f>C14</f>
        <v>2023</v>
      </c>
      <c r="D25" s="111"/>
      <c r="E25" s="715">
        <f>-(E14)</f>
        <v>0</v>
      </c>
      <c r="F25" s="715">
        <f>-(F14-SUM(E43:L43))</f>
        <v>0</v>
      </c>
      <c r="G25" s="715">
        <f>-(G14-SUM(E54:I54))</f>
        <v>-8901428.2409411613</v>
      </c>
      <c r="H25" s="715">
        <f>H14-SUM(E65:J65)</f>
        <v>28131482.288667846</v>
      </c>
      <c r="I25" s="715">
        <f>-(I14)</f>
        <v>0</v>
      </c>
      <c r="J25" s="716"/>
      <c r="K25" s="717"/>
      <c r="L25" s="704"/>
      <c r="M25" s="704"/>
      <c r="N25" s="704"/>
    </row>
    <row r="26" spans="1:14" s="230" customFormat="1" ht="20.1" customHeight="1">
      <c r="A26" s="698"/>
      <c r="B26" s="111"/>
      <c r="C26" s="680"/>
      <c r="D26" s="111"/>
      <c r="E26" s="721"/>
      <c r="F26" s="721"/>
      <c r="G26" s="721"/>
      <c r="H26" s="721"/>
      <c r="I26" s="721"/>
      <c r="J26" s="716"/>
      <c r="K26" s="717"/>
      <c r="L26" s="790"/>
      <c r="M26" s="790"/>
      <c r="N26" s="232"/>
    </row>
    <row r="27" spans="1:14" s="230" customFormat="1" ht="20.1" customHeight="1" thickBot="1">
      <c r="A27" s="702">
        <v>9</v>
      </c>
      <c r="B27" s="239" t="s">
        <v>792</v>
      </c>
      <c r="C27" s="682"/>
      <c r="D27" s="239"/>
      <c r="E27" s="722">
        <f>E21+AVERAGE(E24:E25)</f>
        <v>0</v>
      </c>
      <c r="F27" s="722">
        <f>F21+AVERAGE(F24:F25)</f>
        <v>-1000467118.9231166</v>
      </c>
      <c r="G27" s="722">
        <f>G21+AVERAGE(G24:G25)</f>
        <v>-9540119.2409807816</v>
      </c>
      <c r="H27" s="722">
        <f>H21+AVERAGE(H24:H25)</f>
        <v>92441920.787874937</v>
      </c>
      <c r="I27" s="722">
        <f>I21+AVERAGE(I24:I25)</f>
        <v>0</v>
      </c>
      <c r="J27" s="722"/>
      <c r="K27" s="723">
        <f>SUM(E27:I27)</f>
        <v>-917565317.37622237</v>
      </c>
      <c r="L27" s="705"/>
      <c r="M27" s="793"/>
      <c r="N27" s="705"/>
    </row>
    <row r="32" spans="1:14" s="230" customFormat="1" ht="20.1" customHeight="1">
      <c r="A32" s="212" t="s">
        <v>365</v>
      </c>
      <c r="B32" s="84"/>
      <c r="C32" s="212"/>
      <c r="D32" s="90"/>
      <c r="E32" s="90"/>
      <c r="F32" s="90"/>
      <c r="G32" s="90"/>
      <c r="H32" s="90"/>
      <c r="I32" s="84"/>
      <c r="J32" s="84"/>
      <c r="K32" s="84"/>
      <c r="L32" s="84"/>
      <c r="M32" s="84"/>
      <c r="N32" s="84"/>
    </row>
    <row r="33" spans="1:14" s="230" customFormat="1" ht="20.1" customHeight="1">
      <c r="A33" s="695" t="s">
        <v>364</v>
      </c>
      <c r="B33" s="848" t="s">
        <v>846</v>
      </c>
      <c r="C33" s="848"/>
      <c r="D33" s="848"/>
      <c r="E33" s="848"/>
      <c r="F33" s="848"/>
      <c r="G33" s="848"/>
      <c r="H33" s="848"/>
      <c r="I33" s="848"/>
      <c r="J33" s="848"/>
      <c r="K33" s="848"/>
      <c r="L33" s="671"/>
      <c r="M33" s="671"/>
      <c r="N33" s="84"/>
    </row>
    <row r="34" spans="1:13" ht="20.1" customHeight="1">
      <c r="A34" s="695" t="s">
        <v>378</v>
      </c>
      <c r="B34" s="848" t="s">
        <v>552</v>
      </c>
      <c r="C34" s="848"/>
      <c r="D34" s="848"/>
      <c r="E34" s="848"/>
      <c r="F34" s="848"/>
      <c r="G34" s="848"/>
      <c r="H34" s="848"/>
      <c r="I34" s="848"/>
      <c r="J34" s="848"/>
      <c r="K34" s="848"/>
      <c r="L34" s="671"/>
      <c r="M34" s="671"/>
    </row>
    <row r="35" spans="2:10" ht="20.1" customHeight="1">
      <c r="B35" s="671"/>
      <c r="C35" s="683"/>
      <c r="D35" s="671"/>
      <c r="E35" s="84"/>
      <c r="F35" s="90" t="s">
        <v>539</v>
      </c>
      <c r="G35" s="671"/>
      <c r="H35" s="671"/>
      <c r="I35" s="90" t="s">
        <v>686</v>
      </c>
      <c r="J35" s="90" t="s">
        <v>546</v>
      </c>
    </row>
    <row r="36" spans="2:14" ht="20.1" customHeight="1">
      <c r="B36" s="671"/>
      <c r="C36" s="683"/>
      <c r="D36" s="671"/>
      <c r="E36" s="671" t="s">
        <v>540</v>
      </c>
      <c r="F36" s="90" t="s">
        <v>541</v>
      </c>
      <c r="G36" s="90" t="s">
        <v>542</v>
      </c>
      <c r="H36" s="671"/>
      <c r="I36" s="90" t="s">
        <v>687</v>
      </c>
      <c r="J36" s="90" t="s">
        <v>599</v>
      </c>
      <c r="K36" s="90" t="s">
        <v>579</v>
      </c>
      <c r="L36" s="90"/>
      <c r="M36" s="90"/>
      <c r="N36" s="90"/>
    </row>
    <row r="37" spans="2:13" ht="20.1" customHeight="1">
      <c r="B37" s="671"/>
      <c r="C37" s="683"/>
      <c r="D37" s="671"/>
      <c r="E37" s="201" t="s">
        <v>543</v>
      </c>
      <c r="F37" s="201" t="s">
        <v>543</v>
      </c>
      <c r="G37" s="201" t="s">
        <v>544</v>
      </c>
      <c r="H37" s="201" t="s">
        <v>545</v>
      </c>
      <c r="I37" s="201" t="s">
        <v>688</v>
      </c>
      <c r="J37" s="201" t="s">
        <v>600</v>
      </c>
      <c r="K37" s="201" t="s">
        <v>580</v>
      </c>
      <c r="L37" s="201" t="s">
        <v>601</v>
      </c>
      <c r="M37" s="201" t="s">
        <v>847</v>
      </c>
    </row>
    <row r="38" spans="2:13" ht="20.1" customHeight="1">
      <c r="B38" s="97" t="s">
        <v>825</v>
      </c>
      <c r="C38" s="683"/>
      <c r="D38" s="671"/>
      <c r="E38" s="201"/>
      <c r="F38" s="201"/>
      <c r="G38" s="201"/>
      <c r="H38" s="201"/>
      <c r="I38" s="201"/>
      <c r="J38" s="201"/>
      <c r="K38" s="201"/>
      <c r="L38" s="201"/>
      <c r="M38" s="201"/>
    </row>
    <row r="39" spans="1:13" s="200" customFormat="1" ht="20.1" customHeight="1">
      <c r="A39" s="695">
        <v>10</v>
      </c>
      <c r="B39" s="97" t="s">
        <v>376</v>
      </c>
      <c r="C39" s="676">
        <f>C21</f>
        <v>2023</v>
      </c>
      <c r="D39" s="671"/>
      <c r="E39" s="685">
        <f t="array" ref="E39:L39">TRANSPOSE('WP03-B ADIT Detail'!G56:G63)</f>
        <v>784.52999999999986</v>
      </c>
      <c r="F39" s="685">
        <v>0</v>
      </c>
      <c r="G39" s="685">
        <v>0</v>
      </c>
      <c r="H39" s="686">
        <v>-110972.35999999999</v>
      </c>
      <c r="I39" s="686">
        <v>0</v>
      </c>
      <c r="J39" s="685">
        <v>-264077935.53390002</v>
      </c>
      <c r="K39" s="706">
        <v>0</v>
      </c>
      <c r="L39" s="706">
        <v>0</v>
      </c>
      <c r="M39" s="706">
        <f>'WP03-A ADIT Norm'!J41</f>
        <v>16889648.096883625</v>
      </c>
    </row>
    <row r="40" spans="1:3" s="725" customFormat="1" ht="20.1" customHeight="1">
      <c r="A40" s="724"/>
      <c r="B40" s="97"/>
      <c r="C40" s="724"/>
    </row>
    <row r="41" spans="1:3" s="725" customFormat="1" ht="20.1" customHeight="1">
      <c r="A41" s="724"/>
      <c r="B41" s="97" t="s">
        <v>826</v>
      </c>
      <c r="C41" s="724"/>
    </row>
    <row r="42" spans="1:12" s="725" customFormat="1" ht="20.1" customHeight="1">
      <c r="A42" s="726">
        <v>11</v>
      </c>
      <c r="B42" s="97" t="s">
        <v>376</v>
      </c>
      <c r="C42" s="676">
        <f>C13</f>
        <v>2022</v>
      </c>
      <c r="E42" s="685">
        <f t="array" ref="E42:L42">TRANSPOSE('WP03-B ADIT Detail'!I56:I63)</f>
        <v>0</v>
      </c>
      <c r="F42" s="685">
        <v>0</v>
      </c>
      <c r="G42" s="685">
        <v>0</v>
      </c>
      <c r="H42" s="685">
        <v>0</v>
      </c>
      <c r="I42" s="685">
        <v>0</v>
      </c>
      <c r="J42" s="685">
        <v>0</v>
      </c>
      <c r="K42" s="685">
        <v>0</v>
      </c>
      <c r="L42" s="685">
        <v>0</v>
      </c>
    </row>
    <row r="43" spans="1:12" s="725" customFormat="1" ht="20.1" customHeight="1">
      <c r="A43" s="726">
        <v>12</v>
      </c>
      <c r="B43" s="97" t="s">
        <v>376</v>
      </c>
      <c r="C43" s="676">
        <f>C14</f>
        <v>2023</v>
      </c>
      <c r="E43" s="685">
        <f t="array" ref="E43:L43">TRANSPOSE('WP03-B ADIT Detail'!J56:J63)</f>
        <v>0</v>
      </c>
      <c r="F43" s="685">
        <v>0</v>
      </c>
      <c r="G43" s="685">
        <v>0</v>
      </c>
      <c r="H43" s="685">
        <v>0</v>
      </c>
      <c r="I43" s="685">
        <v>0</v>
      </c>
      <c r="J43" s="685">
        <v>0</v>
      </c>
      <c r="K43" s="685">
        <v>0</v>
      </c>
      <c r="L43" s="685">
        <v>0</v>
      </c>
    </row>
    <row r="44" spans="1:3" s="725" customFormat="1" ht="20.1" customHeight="1">
      <c r="A44" s="724"/>
      <c r="C44" s="724"/>
    </row>
    <row r="45" spans="1:13" s="200" customFormat="1" ht="20.1" customHeight="1">
      <c r="A45" s="695" t="s">
        <v>507</v>
      </c>
      <c r="B45" s="848" t="s">
        <v>547</v>
      </c>
      <c r="C45" s="848"/>
      <c r="D45" s="848"/>
      <c r="E45" s="848"/>
      <c r="F45" s="848"/>
      <c r="G45" s="848"/>
      <c r="H45" s="848"/>
      <c r="I45" s="848"/>
      <c r="J45" s="848"/>
      <c r="K45" s="848"/>
      <c r="L45" s="671"/>
      <c r="M45" s="671"/>
    </row>
    <row r="46" spans="2:10" ht="20.1" customHeight="1">
      <c r="B46" s="671"/>
      <c r="C46" s="683"/>
      <c r="D46" s="671"/>
      <c r="E46" s="84"/>
      <c r="F46" s="90" t="s">
        <v>539</v>
      </c>
      <c r="G46" s="671"/>
      <c r="H46" s="90" t="s">
        <v>686</v>
      </c>
      <c r="I46" s="90" t="s">
        <v>546</v>
      </c>
      <c r="J46" s="671"/>
    </row>
    <row r="47" spans="2:10" ht="20.1" customHeight="1">
      <c r="B47" s="671"/>
      <c r="C47" s="683"/>
      <c r="D47" s="671"/>
      <c r="E47" s="671" t="s">
        <v>540</v>
      </c>
      <c r="F47" s="90" t="s">
        <v>541</v>
      </c>
      <c r="G47" s="671"/>
      <c r="H47" s="90" t="s">
        <v>687</v>
      </c>
      <c r="I47" s="90" t="s">
        <v>599</v>
      </c>
      <c r="J47" s="671"/>
    </row>
    <row r="48" spans="2:11" ht="20.1" customHeight="1">
      <c r="B48" s="671"/>
      <c r="C48" s="683"/>
      <c r="D48" s="671"/>
      <c r="E48" s="201" t="s">
        <v>543</v>
      </c>
      <c r="F48" s="201" t="s">
        <v>543</v>
      </c>
      <c r="G48" s="201" t="s">
        <v>545</v>
      </c>
      <c r="H48" s="201" t="s">
        <v>688</v>
      </c>
      <c r="I48" s="201" t="s">
        <v>600</v>
      </c>
      <c r="J48" s="201" t="s">
        <v>847</v>
      </c>
      <c r="K48" s="192"/>
    </row>
    <row r="49" spans="2:11" ht="20.1" customHeight="1">
      <c r="B49" s="97" t="s">
        <v>825</v>
      </c>
      <c r="C49" s="683"/>
      <c r="D49" s="671"/>
      <c r="E49" s="201"/>
      <c r="F49" s="201"/>
      <c r="G49" s="201"/>
      <c r="H49" s="201"/>
      <c r="I49" s="201"/>
      <c r="J49" s="201"/>
      <c r="K49" s="192"/>
    </row>
    <row r="50" spans="1:13" s="200" customFormat="1" ht="20.1" customHeight="1">
      <c r="A50" s="695">
        <v>13</v>
      </c>
      <c r="B50" s="97" t="s">
        <v>376</v>
      </c>
      <c r="C50" s="676">
        <f>C39</f>
        <v>2023</v>
      </c>
      <c r="D50" s="671"/>
      <c r="E50" s="685">
        <f t="array" ref="E50:I50">TRANSPOSE('WP03-B ADIT Detail'!G88:G92)</f>
        <v>0</v>
      </c>
      <c r="F50" s="685">
        <v>0</v>
      </c>
      <c r="G50" s="686">
        <v>0</v>
      </c>
      <c r="H50" s="686">
        <v>0</v>
      </c>
      <c r="I50" s="685">
        <v>-75481358.805599883</v>
      </c>
      <c r="J50" s="706">
        <f>'WP03-A ADIT Norm'!J43</f>
        <v>-336940.06191496551</v>
      </c>
      <c r="K50" s="706"/>
      <c r="M50" s="84"/>
    </row>
    <row r="51" spans="1:13" s="688" customFormat="1" ht="20.1" customHeight="1">
      <c r="A51" s="699"/>
      <c r="B51" s="97"/>
      <c r="C51" s="727"/>
      <c r="D51" s="684"/>
      <c r="E51" s="685"/>
      <c r="F51" s="685"/>
      <c r="G51" s="686"/>
      <c r="H51" s="686"/>
      <c r="I51" s="685"/>
      <c r="J51" s="687"/>
      <c r="M51" s="192"/>
    </row>
    <row r="52" spans="1:13" s="688" customFormat="1" ht="20.1" customHeight="1">
      <c r="A52" s="699"/>
      <c r="B52" s="97" t="s">
        <v>826</v>
      </c>
      <c r="C52" s="727"/>
      <c r="D52" s="684"/>
      <c r="E52" s="685"/>
      <c r="F52" s="685"/>
      <c r="G52" s="686"/>
      <c r="H52" s="686"/>
      <c r="I52" s="685"/>
      <c r="J52" s="687"/>
      <c r="M52" s="192"/>
    </row>
    <row r="53" spans="1:13" s="200" customFormat="1" ht="20.1" customHeight="1">
      <c r="A53" s="695">
        <v>14</v>
      </c>
      <c r="B53" s="97" t="s">
        <v>376</v>
      </c>
      <c r="C53" s="676">
        <f>C42</f>
        <v>2022</v>
      </c>
      <c r="D53" s="671"/>
      <c r="E53" s="685">
        <f t="array" ref="E53:I53">TRANSPOSE('WP03-B ADIT Detail'!I88:I92)</f>
        <v>0</v>
      </c>
      <c r="F53" s="685">
        <v>0</v>
      </c>
      <c r="G53" s="685">
        <v>0</v>
      </c>
      <c r="H53" s="685">
        <v>0</v>
      </c>
      <c r="I53" s="685">
        <v>8435811.5399810001</v>
      </c>
      <c r="J53" s="687"/>
      <c r="M53" s="84"/>
    </row>
    <row r="54" spans="1:13" s="200" customFormat="1" ht="20.1" customHeight="1">
      <c r="A54" s="695">
        <v>15</v>
      </c>
      <c r="B54" s="97" t="s">
        <v>376</v>
      </c>
      <c r="C54" s="676">
        <f>C43</f>
        <v>2023</v>
      </c>
      <c r="D54" s="671"/>
      <c r="E54" s="685">
        <f t="array" ref="E54:I54">TRANSPOSE('WP03-B ADIT Detail'!J88:J92)</f>
        <v>0</v>
      </c>
      <c r="F54" s="685">
        <v>0</v>
      </c>
      <c r="G54" s="685">
        <v>0</v>
      </c>
      <c r="H54" s="685">
        <v>0</v>
      </c>
      <c r="I54" s="685">
        <v>7962371.8451700825</v>
      </c>
      <c r="J54" s="687"/>
      <c r="M54" s="84"/>
    </row>
    <row r="55" spans="1:14" s="688" customFormat="1" ht="20.1" customHeight="1">
      <c r="A55" s="699"/>
      <c r="B55" s="684"/>
      <c r="C55" s="676"/>
      <c r="D55" s="684"/>
      <c r="E55" s="685"/>
      <c r="F55" s="685"/>
      <c r="G55" s="686"/>
      <c r="H55" s="686"/>
      <c r="I55" s="685"/>
      <c r="J55" s="685"/>
      <c r="K55" s="687"/>
      <c r="N55" s="192"/>
    </row>
    <row r="56" spans="1:13" s="200" customFormat="1" ht="20.1" customHeight="1">
      <c r="A56" s="695" t="s">
        <v>548</v>
      </c>
      <c r="B56" s="848" t="s">
        <v>549</v>
      </c>
      <c r="C56" s="848"/>
      <c r="D56" s="848"/>
      <c r="E56" s="848"/>
      <c r="F56" s="848"/>
      <c r="G56" s="848"/>
      <c r="H56" s="848"/>
      <c r="I56" s="848"/>
      <c r="J56" s="848"/>
      <c r="K56" s="848"/>
      <c r="L56" s="671"/>
      <c r="M56" s="671"/>
    </row>
    <row r="57" spans="1:13" s="200" customFormat="1" ht="20.1" customHeight="1">
      <c r="A57" s="695"/>
      <c r="B57" s="671"/>
      <c r="C57" s="683"/>
      <c r="D57" s="671"/>
      <c r="E57" s="671"/>
      <c r="F57" s="671"/>
      <c r="G57" s="671"/>
      <c r="H57" s="671"/>
      <c r="I57" s="90" t="s">
        <v>686</v>
      </c>
      <c r="J57" s="90" t="s">
        <v>546</v>
      </c>
      <c r="K57" s="671"/>
      <c r="L57" s="671"/>
      <c r="M57" s="671"/>
    </row>
    <row r="58" spans="1:13" s="200" customFormat="1" ht="20.1" customHeight="1">
      <c r="A58" s="695"/>
      <c r="B58" s="671"/>
      <c r="C58" s="683"/>
      <c r="D58" s="671"/>
      <c r="F58" s="90" t="s">
        <v>539</v>
      </c>
      <c r="G58" s="84"/>
      <c r="H58" s="671"/>
      <c r="I58" s="90" t="s">
        <v>687</v>
      </c>
      <c r="J58" s="671" t="s">
        <v>599</v>
      </c>
      <c r="K58" s="84"/>
      <c r="L58" s="84"/>
      <c r="M58" s="84"/>
    </row>
    <row r="59" spans="1:12" s="200" customFormat="1" ht="20.1" customHeight="1">
      <c r="A59" s="695"/>
      <c r="B59" s="671"/>
      <c r="C59" s="683"/>
      <c r="D59" s="671"/>
      <c r="E59" s="205" t="s">
        <v>540</v>
      </c>
      <c r="F59" s="204" t="s">
        <v>541</v>
      </c>
      <c r="G59" s="205" t="s">
        <v>550</v>
      </c>
      <c r="H59" s="201" t="s">
        <v>545</v>
      </c>
      <c r="I59" s="201" t="s">
        <v>688</v>
      </c>
      <c r="J59" s="201" t="s">
        <v>600</v>
      </c>
      <c r="K59" s="201" t="s">
        <v>847</v>
      </c>
      <c r="L59" s="192"/>
    </row>
    <row r="60" spans="1:12" s="200" customFormat="1" ht="20.1" customHeight="1">
      <c r="A60" s="695"/>
      <c r="B60" s="97" t="s">
        <v>825</v>
      </c>
      <c r="C60" s="683"/>
      <c r="D60" s="671"/>
      <c r="E60" s="205"/>
      <c r="F60" s="204"/>
      <c r="G60" s="205"/>
      <c r="H60" s="201"/>
      <c r="I60" s="201"/>
      <c r="J60" s="201"/>
      <c r="K60" s="201"/>
      <c r="L60" s="192"/>
    </row>
    <row r="61" spans="1:12" s="200" customFormat="1" ht="20.1" customHeight="1">
      <c r="A61" s="695">
        <v>16</v>
      </c>
      <c r="B61" s="97" t="s">
        <v>376</v>
      </c>
      <c r="C61" s="676">
        <f>C50</f>
        <v>2023</v>
      </c>
      <c r="D61" s="671"/>
      <c r="E61" s="685">
        <f t="array" ref="E61:J61">TRANSPOSE('WP03-B ADIT Detail'!G25:G31)</f>
        <v>0</v>
      </c>
      <c r="F61" s="685">
        <v>0</v>
      </c>
      <c r="G61" s="685">
        <v>0</v>
      </c>
      <c r="H61" s="686">
        <v>0</v>
      </c>
      <c r="I61" s="685">
        <v>5728473.3999999994</v>
      </c>
      <c r="J61" s="685">
        <v>-4232065.4082999974</v>
      </c>
      <c r="K61" s="706">
        <f>'WP03-A ADIT Norm'!J39</f>
        <v>-13874453.301855803</v>
      </c>
      <c r="L61" s="685"/>
    </row>
    <row r="62" spans="1:12" s="688" customFormat="1" ht="20.1" customHeight="1">
      <c r="A62" s="699"/>
      <c r="B62" s="97"/>
      <c r="C62" s="676"/>
      <c r="D62" s="684"/>
      <c r="E62" s="685"/>
      <c r="F62" s="685"/>
      <c r="G62" s="685"/>
      <c r="H62" s="686"/>
      <c r="I62" s="685"/>
      <c r="J62" s="685"/>
      <c r="K62" s="685"/>
      <c r="L62" s="685"/>
    </row>
    <row r="63" spans="1:12" s="688" customFormat="1" ht="20.1" customHeight="1">
      <c r="A63" s="699"/>
      <c r="B63" s="97" t="s">
        <v>826</v>
      </c>
      <c r="C63" s="676"/>
      <c r="D63" s="684"/>
      <c r="E63" s="685"/>
      <c r="F63" s="685"/>
      <c r="G63" s="685"/>
      <c r="H63" s="686"/>
      <c r="I63" s="685"/>
      <c r="J63" s="685"/>
      <c r="K63" s="685"/>
      <c r="L63" s="685"/>
    </row>
    <row r="64" spans="1:12" s="200" customFormat="1" ht="20.1" customHeight="1">
      <c r="A64" s="695">
        <v>17</v>
      </c>
      <c r="B64" s="97" t="s">
        <v>376</v>
      </c>
      <c r="C64" s="676">
        <f t="shared" si="0" ref="C64:C65">C53</f>
        <v>2022</v>
      </c>
      <c r="D64" s="671"/>
      <c r="E64" s="685">
        <f t="array" ref="E64:J64">TRANSPOSE('WP03-B ADIT Detail'!I25:I31)</f>
        <v>767824.6780782094</v>
      </c>
      <c r="F64" s="685">
        <v>1196.6400404969847</v>
      </c>
      <c r="G64" s="685">
        <v>0</v>
      </c>
      <c r="H64" s="686">
        <v>0</v>
      </c>
      <c r="I64" s="685">
        <v>0</v>
      </c>
      <c r="J64" s="685">
        <v>-29561136</v>
      </c>
      <c r="K64" s="685"/>
      <c r="L64" s="685"/>
    </row>
    <row r="65" spans="1:12" s="200" customFormat="1" ht="20.1" customHeight="1">
      <c r="A65" s="695">
        <v>18</v>
      </c>
      <c r="B65" s="97" t="s">
        <v>376</v>
      </c>
      <c r="C65" s="676">
        <f t="shared" si="0"/>
        <v>2023</v>
      </c>
      <c r="D65" s="671"/>
      <c r="E65" s="685">
        <f t="array" ref="E65:J65">TRANSPOSE('WP03-B ADIT Detail'!J25:J31)</f>
        <v>817467.09465335601</v>
      </c>
      <c r="F65" s="685">
        <v>1255.2221366362351</v>
      </c>
      <c r="G65" s="685">
        <v>0</v>
      </c>
      <c r="H65" s="686">
        <v>0</v>
      </c>
      <c r="I65" s="685">
        <v>0</v>
      </c>
      <c r="J65" s="685">
        <v>-27941696</v>
      </c>
      <c r="K65" s="685"/>
      <c r="L65" s="685"/>
    </row>
    <row r="66" spans="1:14" s="200" customFormat="1" ht="20.1" customHeight="1">
      <c r="A66" s="695"/>
      <c r="B66" s="671"/>
      <c r="C66" s="683"/>
      <c r="D66" s="671"/>
      <c r="E66" s="202"/>
      <c r="F66" s="203"/>
      <c r="G66" s="203"/>
      <c r="H66" s="671"/>
      <c r="I66" s="671"/>
      <c r="J66" s="671"/>
      <c r="K66" s="671"/>
      <c r="L66" s="671"/>
      <c r="M66" s="671"/>
      <c r="N66" s="671"/>
    </row>
    <row r="67" spans="1:14" ht="37.7" customHeight="1">
      <c r="A67" s="700" t="s">
        <v>551</v>
      </c>
      <c r="B67" s="847" t="s">
        <v>379</v>
      </c>
      <c r="C67" s="847"/>
      <c r="D67" s="847"/>
      <c r="E67" s="847"/>
      <c r="F67" s="847"/>
      <c r="G67" s="847"/>
      <c r="H67" s="847"/>
      <c r="I67" s="847"/>
      <c r="J67" s="847"/>
      <c r="K67" s="847"/>
      <c r="L67" s="847"/>
      <c r="M67" s="847"/>
      <c r="N67" s="847"/>
    </row>
    <row r="68" spans="1:14" ht="38.45" customHeight="1">
      <c r="A68" s="701" t="s">
        <v>612</v>
      </c>
      <c r="B68" s="847" t="s">
        <v>824</v>
      </c>
      <c r="C68" s="847"/>
      <c r="D68" s="847"/>
      <c r="E68" s="847"/>
      <c r="F68" s="847"/>
      <c r="G68" s="847"/>
      <c r="H68" s="847"/>
      <c r="I68" s="847"/>
      <c r="J68" s="847"/>
      <c r="K68" s="847"/>
      <c r="L68" s="847"/>
      <c r="M68" s="847"/>
      <c r="N68" s="847"/>
    </row>
    <row r="69" spans="1:2" ht="20.1" customHeight="1">
      <c r="A69" s="701" t="s">
        <v>613</v>
      </c>
      <c r="B69" s="84" t="s">
        <v>833</v>
      </c>
    </row>
  </sheetData>
  <mergeCells count="6">
    <mergeCell ref="B68:N68"/>
    <mergeCell ref="B67:N67"/>
    <mergeCell ref="B33:K33"/>
    <mergeCell ref="B34:K34"/>
    <mergeCell ref="B45:K45"/>
    <mergeCell ref="B56:K56"/>
  </mergeCells>
  <pageMargins left="0.7" right="0.7" top="0.75" bottom="0.75" header="0.3" footer="0.3"/>
  <pageSetup orientation="portrait" scale="36"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72B-F487-45C1-97FA-96ECF46DB23D}">
  <sheetPr codeName="Sheet24"/>
  <dimension ref="A1:M54"/>
  <sheetViews>
    <sheetView view="pageBreakPreview" zoomScale="80" zoomScaleNormal="85" zoomScaleSheetLayoutView="80" workbookViewId="0" topLeftCell="A1">
      <selection pane="topLeft" activeCell="I43" sqref="I43"/>
    </sheetView>
  </sheetViews>
  <sheetFormatPr defaultColWidth="8.88555555555556" defaultRowHeight="15"/>
  <cols>
    <col min="1" max="1" width="8.88888888888889" style="632"/>
    <col min="2" max="2" width="9" style="632" customWidth="1"/>
    <col min="3" max="3" width="27.1111111111111" style="632" customWidth="1"/>
    <col min="4" max="4" width="3.11111111111111" style="632" customWidth="1"/>
    <col min="5" max="5" width="14.8888888888889" style="632" customWidth="1"/>
    <col min="6" max="6" width="15.3333333333333" style="632" customWidth="1"/>
    <col min="7" max="8" width="13.8888888888889" style="632" customWidth="1"/>
    <col min="9" max="9" width="13.5555555555556" style="632" customWidth="1"/>
    <col min="10" max="10" width="16.5555555555556" style="632" customWidth="1"/>
    <col min="11" max="11" width="17.1111111111111" style="632" customWidth="1"/>
    <col min="12" max="12" width="12.8888888888889" style="632" customWidth="1"/>
    <col min="13" max="13" width="15.3333333333333" style="670" customWidth="1"/>
    <col min="14" max="16384" width="8.88888888888889" style="632"/>
  </cols>
  <sheetData>
    <row r="1" spans="1:13" ht="15.75">
      <c r="A1" s="93" t="str">
        <f ca="1">RIGHT(CELL("filename",D2),LEN(CELL("filename",D2))-FIND("]",CELL("filename",D2)))</f>
        <v>WP03-A ADIT Norm</v>
      </c>
      <c r="M1" s="7"/>
    </row>
    <row r="2" spans="13:13" ht="15.75">
      <c r="M2" s="7"/>
    </row>
    <row r="3" spans="13:13" ht="15.75">
      <c r="M3" s="7"/>
    </row>
    <row r="4" spans="3:3" ht="15.75">
      <c r="C4" s="93"/>
    </row>
    <row r="5" spans="3:12" ht="15.75" thickBot="1">
      <c r="C5" s="633" t="s">
        <v>141</v>
      </c>
      <c r="D5" s="634"/>
      <c r="E5" s="633" t="s">
        <v>142</v>
      </c>
      <c r="F5" s="633" t="s">
        <v>143</v>
      </c>
      <c r="G5" s="633" t="s">
        <v>144</v>
      </c>
      <c r="H5" s="633" t="s">
        <v>145</v>
      </c>
      <c r="I5" s="633" t="s">
        <v>146</v>
      </c>
      <c r="J5" s="633" t="s">
        <v>147</v>
      </c>
      <c r="K5" s="633" t="s">
        <v>149</v>
      </c>
      <c r="L5" s="633" t="s">
        <v>150</v>
      </c>
    </row>
    <row r="6" spans="1:12" ht="15.75" thickBot="1">
      <c r="A6" s="635" t="s">
        <v>5</v>
      </c>
      <c r="B6" s="635"/>
      <c r="C6" s="636"/>
      <c r="D6" s="637"/>
      <c r="E6" s="849" t="str">
        <f>'WP03 ADIT'!C10&amp;" Quarterly Activity and Balances"</f>
        <v>2023 Quarterly Activity and Balances</v>
      </c>
      <c r="F6" s="849"/>
      <c r="G6" s="849"/>
      <c r="H6" s="849"/>
      <c r="I6" s="849"/>
      <c r="J6" s="849"/>
      <c r="K6" s="849"/>
      <c r="L6" s="850"/>
    </row>
    <row r="7" spans="3:12" ht="15">
      <c r="C7" s="638"/>
      <c r="E7" s="639"/>
      <c r="F7" s="639"/>
      <c r="G7" s="639"/>
      <c r="H7" s="639"/>
      <c r="I7" s="639"/>
      <c r="J7" s="639"/>
      <c r="K7" s="639"/>
      <c r="L7" s="640"/>
    </row>
    <row r="8" spans="3:12" ht="30">
      <c r="C8" s="641" t="s">
        <v>766</v>
      </c>
      <c r="D8" s="642"/>
      <c r="E8" s="643" t="s">
        <v>762</v>
      </c>
      <c r="F8" s="644" t="s">
        <v>767</v>
      </c>
      <c r="G8" s="643" t="s">
        <v>763</v>
      </c>
      <c r="H8" s="644" t="s">
        <v>768</v>
      </c>
      <c r="I8" s="643" t="s">
        <v>764</v>
      </c>
      <c r="J8" s="644" t="s">
        <v>769</v>
      </c>
      <c r="K8" s="643" t="s">
        <v>765</v>
      </c>
      <c r="L8" s="645" t="s">
        <v>770</v>
      </c>
    </row>
    <row r="9" spans="1:12" ht="15">
      <c r="A9" s="633">
        <v>1</v>
      </c>
      <c r="B9" s="787" t="s">
        <v>910</v>
      </c>
      <c r="C9" s="750">
        <f>'WP03-B ADIT Detail'!C34</f>
        <v>67244633.676758379</v>
      </c>
      <c r="D9" s="751"/>
      <c r="E9" s="751">
        <f>F9-C9</f>
        <v>-5595773.9836213961</v>
      </c>
      <c r="F9" s="634">
        <f>'WP03-B ADIT Detail'!D34</f>
        <v>61648859.693136983</v>
      </c>
      <c r="G9" s="751">
        <f>H9-F9</f>
        <v>-5595773.9836214036</v>
      </c>
      <c r="H9" s="634">
        <f>'WP03-B ADIT Detail'!E34</f>
        <v>56053085.709515579</v>
      </c>
      <c r="I9" s="751">
        <f>J9-H9</f>
        <v>-5595773.9836214036</v>
      </c>
      <c r="J9" s="634">
        <f>'WP03-B ADIT Detail'!F34</f>
        <v>50457311.725894175</v>
      </c>
      <c r="K9" s="751">
        <f>L9-J9</f>
        <v>-5595773.9836213961</v>
      </c>
      <c r="L9" s="646">
        <f>'WP03-B ADIT Detail'!G34</f>
        <v>44861537.742272779</v>
      </c>
    </row>
    <row r="10" spans="3:12" ht="15">
      <c r="C10" s="647"/>
      <c r="D10" s="634"/>
      <c r="E10" s="634"/>
      <c r="F10" s="634"/>
      <c r="G10" s="634"/>
      <c r="H10" s="634"/>
      <c r="I10" s="634"/>
      <c r="J10" s="634"/>
      <c r="K10" s="634"/>
      <c r="L10" s="646"/>
    </row>
    <row r="11" spans="3:12" ht="30">
      <c r="C11" s="648" t="str">
        <f>C8</f>
        <v>Beginning 190 (including adjustments)</v>
      </c>
      <c r="D11" s="634"/>
      <c r="E11" s="649" t="s">
        <v>771</v>
      </c>
      <c r="F11" s="634"/>
      <c r="G11" s="649" t="s">
        <v>772</v>
      </c>
      <c r="H11" s="634"/>
      <c r="I11" s="649" t="s">
        <v>773</v>
      </c>
      <c r="J11" s="634"/>
      <c r="K11" s="649" t="s">
        <v>774</v>
      </c>
      <c r="L11" s="646"/>
    </row>
    <row r="12" spans="1:13" ht="15">
      <c r="A12" s="633">
        <v>2</v>
      </c>
      <c r="B12" s="758" t="str">
        <f>B9</f>
        <v>PTRR</v>
      </c>
      <c r="C12" s="650">
        <f>C9</f>
        <v>67244633.676758379</v>
      </c>
      <c r="D12" s="634"/>
      <c r="E12" s="649">
        <f>(276/365)*E9</f>
        <v>-4231324.9848753568</v>
      </c>
      <c r="F12" s="634"/>
      <c r="G12" s="649">
        <f>(185/365)*G9</f>
        <v>-2836214.2108766017</v>
      </c>
      <c r="H12" s="634"/>
      <c r="I12" s="649">
        <f>(93/365)*I9</f>
        <v>-1425772.549251481</v>
      </c>
      <c r="J12" s="634"/>
      <c r="K12" s="649">
        <f>(1/365)*K9</f>
        <v>-15330.887626359989</v>
      </c>
      <c r="L12" s="646"/>
      <c r="M12" s="728"/>
    </row>
    <row r="13" spans="3:13" ht="15">
      <c r="C13" s="650"/>
      <c r="D13" s="634"/>
      <c r="E13" s="649"/>
      <c r="F13" s="634"/>
      <c r="G13" s="649"/>
      <c r="H13" s="634"/>
      <c r="I13" s="649"/>
      <c r="J13" s="634"/>
      <c r="K13" s="649"/>
      <c r="L13" s="646"/>
      <c r="M13" s="729"/>
    </row>
    <row r="14" spans="3:13" ht="30">
      <c r="C14" s="648" t="s">
        <v>775</v>
      </c>
      <c r="D14" s="634"/>
      <c r="E14" s="643" t="s">
        <v>762</v>
      </c>
      <c r="F14" s="644" t="s">
        <v>767</v>
      </c>
      <c r="G14" s="643" t="s">
        <v>763</v>
      </c>
      <c r="H14" s="644" t="s">
        <v>768</v>
      </c>
      <c r="I14" s="643" t="s">
        <v>764</v>
      </c>
      <c r="J14" s="644" t="s">
        <v>769</v>
      </c>
      <c r="K14" s="643" t="s">
        <v>765</v>
      </c>
      <c r="L14" s="645" t="s">
        <v>770</v>
      </c>
      <c r="M14" s="729"/>
    </row>
    <row r="15" spans="1:13" ht="15">
      <c r="A15" s="633">
        <v>3</v>
      </c>
      <c r="B15" s="758" t="str">
        <f>B12</f>
        <v>PTRR</v>
      </c>
      <c r="C15" s="750">
        <f>'WP03-B ADIT Detail'!C67</f>
        <v>990109378.93000007</v>
      </c>
      <c r="D15" s="634"/>
      <c r="E15" s="751">
        <f>F15-C15</f>
        <v>6811847.0225000381</v>
      </c>
      <c r="F15" s="634">
        <f>'WP03-B ADIT Detail'!D67</f>
        <v>996921225.9525001</v>
      </c>
      <c r="G15" s="751">
        <f>H15-F15</f>
        <v>6811847.0225000381</v>
      </c>
      <c r="H15" s="634">
        <f>'WP03-B ADIT Detail'!E67</f>
        <v>1003733072.9750001</v>
      </c>
      <c r="I15" s="751">
        <f>J15-H15</f>
        <v>6811847.0225000381</v>
      </c>
      <c r="J15" s="634">
        <f>'WP03-B ADIT Detail'!F67</f>
        <v>1010544919.9975002</v>
      </c>
      <c r="K15" s="751">
        <f>L15-J15</f>
        <v>6811847.0225000381</v>
      </c>
      <c r="L15" s="646">
        <f>'WP03-B ADIT Detail'!G67</f>
        <v>1017356767.0200002</v>
      </c>
      <c r="M15" s="729"/>
    </row>
    <row r="16" spans="3:13" ht="15">
      <c r="C16" s="647"/>
      <c r="D16" s="634"/>
      <c r="E16" s="634"/>
      <c r="F16" s="634"/>
      <c r="G16" s="634"/>
      <c r="H16" s="634"/>
      <c r="I16" s="634"/>
      <c r="J16" s="634"/>
      <c r="K16" s="634"/>
      <c r="L16" s="646"/>
      <c r="M16" s="729"/>
    </row>
    <row r="17" spans="3:13" ht="30">
      <c r="C17" s="648" t="str">
        <f>C14</f>
        <v xml:space="preserve">Beginning 282 (including adjustments) </v>
      </c>
      <c r="D17" s="634"/>
      <c r="E17" s="649" t="s">
        <v>771</v>
      </c>
      <c r="F17" s="634"/>
      <c r="G17" s="649" t="s">
        <v>772</v>
      </c>
      <c r="H17" s="634"/>
      <c r="I17" s="649" t="s">
        <v>773</v>
      </c>
      <c r="J17" s="634"/>
      <c r="K17" s="649" t="s">
        <v>774</v>
      </c>
      <c r="L17" s="646"/>
      <c r="M17" s="729"/>
    </row>
    <row r="18" spans="1:13" ht="15">
      <c r="A18" s="633">
        <v>4</v>
      </c>
      <c r="B18" s="758" t="str">
        <f>B15</f>
        <v>PTRR</v>
      </c>
      <c r="C18" s="650">
        <f>C15</f>
        <v>990109378.93000007</v>
      </c>
      <c r="D18" s="634"/>
      <c r="E18" s="649">
        <f>(276/365)*E15</f>
        <v>5150876.1046849601</v>
      </c>
      <c r="F18" s="634"/>
      <c r="G18" s="649">
        <f>(185/365)*G15</f>
        <v>3452579.9977054992</v>
      </c>
      <c r="H18" s="634"/>
      <c r="I18" s="649">
        <f>(93/365)*I15</f>
        <v>1735621.2961438454</v>
      </c>
      <c r="J18" s="634"/>
      <c r="K18" s="649">
        <f>(1/365)*K15</f>
        <v>18662.594582191887</v>
      </c>
      <c r="L18" s="646"/>
      <c r="M18" s="728"/>
    </row>
    <row r="19" spans="3:13" ht="15">
      <c r="C19" s="650"/>
      <c r="D19" s="634"/>
      <c r="E19" s="649"/>
      <c r="F19" s="634"/>
      <c r="G19" s="649"/>
      <c r="H19" s="634"/>
      <c r="I19" s="649"/>
      <c r="J19" s="634"/>
      <c r="K19" s="649"/>
      <c r="L19" s="646"/>
      <c r="M19" s="729"/>
    </row>
    <row r="20" spans="3:13" ht="30">
      <c r="C20" s="648" t="s">
        <v>776</v>
      </c>
      <c r="D20" s="634"/>
      <c r="E20" s="643" t="s">
        <v>762</v>
      </c>
      <c r="F20" s="644" t="s">
        <v>767</v>
      </c>
      <c r="G20" s="643" t="s">
        <v>763</v>
      </c>
      <c r="H20" s="644" t="s">
        <v>768</v>
      </c>
      <c r="I20" s="643" t="s">
        <v>764</v>
      </c>
      <c r="J20" s="644" t="s">
        <v>769</v>
      </c>
      <c r="K20" s="643" t="s">
        <v>765</v>
      </c>
      <c r="L20" s="645" t="s">
        <v>770</v>
      </c>
      <c r="M20" s="729"/>
    </row>
    <row r="21" spans="1:13" ht="15">
      <c r="A21" s="633">
        <v>5</v>
      </c>
      <c r="B21" s="758" t="str">
        <f>B18</f>
        <v>PTRR</v>
      </c>
      <c r="C21" s="750">
        <f>'WP03-B ADIT Detail'!C96</f>
        <v>549324.42259208858</v>
      </c>
      <c r="D21" s="634"/>
      <c r="E21" s="751">
        <f>F21-C21</f>
        <v>-135892.95314802229</v>
      </c>
      <c r="F21" s="634">
        <f>'WP03-B ADIT Detail'!D96</f>
        <v>413431.46944406629</v>
      </c>
      <c r="G21" s="751">
        <f>H21-F21</f>
        <v>-135892.95314802229</v>
      </c>
      <c r="H21" s="634">
        <f>'WP03-B ADIT Detail'!E96</f>
        <v>277538.51629604399</v>
      </c>
      <c r="I21" s="751">
        <f>J21-H21</f>
        <v>-135892.95314802229</v>
      </c>
      <c r="J21" s="634">
        <f>'WP03-B ADIT Detail'!F96</f>
        <v>141645.5631480217</v>
      </c>
      <c r="K21" s="751">
        <f>L21-J21</f>
        <v>-135892.95314802229</v>
      </c>
      <c r="L21" s="646">
        <f>'WP03-B ADIT Detail'!G96</f>
        <v>5752.609999999404</v>
      </c>
      <c r="M21" s="729"/>
    </row>
    <row r="22" spans="3:13" ht="15">
      <c r="C22" s="647"/>
      <c r="D22" s="634"/>
      <c r="E22" s="634"/>
      <c r="F22" s="634"/>
      <c r="G22" s="634"/>
      <c r="H22" s="634"/>
      <c r="I22" s="634"/>
      <c r="J22" s="634"/>
      <c r="K22" s="634"/>
      <c r="L22" s="646"/>
      <c r="M22" s="729"/>
    </row>
    <row r="23" spans="2:13" ht="30.6" customHeight="1">
      <c r="B23" s="651"/>
      <c r="C23" s="648" t="str">
        <f>C20</f>
        <v xml:space="preserve">Beginning 283 (Including adjustments) </v>
      </c>
      <c r="D23" s="634"/>
      <c r="E23" s="649" t="s">
        <v>771</v>
      </c>
      <c r="F23" s="634"/>
      <c r="G23" s="649" t="s">
        <v>772</v>
      </c>
      <c r="H23" s="634"/>
      <c r="I23" s="649" t="s">
        <v>773</v>
      </c>
      <c r="J23" s="634"/>
      <c r="K23" s="649" t="s">
        <v>774</v>
      </c>
      <c r="L23" s="646"/>
      <c r="M23" s="729"/>
    </row>
    <row r="24" spans="1:13" ht="15.75" thickBot="1">
      <c r="A24" s="633">
        <v>6</v>
      </c>
      <c r="B24" s="758" t="str">
        <f>B21</f>
        <v>PTRR</v>
      </c>
      <c r="C24" s="652">
        <f>C21</f>
        <v>549324.42259208858</v>
      </c>
      <c r="D24" s="653"/>
      <c r="E24" s="654">
        <f>(276/365)*E21</f>
        <v>-102757.41114754563</v>
      </c>
      <c r="F24" s="653"/>
      <c r="G24" s="654">
        <f>(185/365)*G21</f>
        <v>-68877.25022570994</v>
      </c>
      <c r="H24" s="653"/>
      <c r="I24" s="654">
        <f>(93/365)*I21</f>
        <v>-34624.779843194723</v>
      </c>
      <c r="J24" s="653"/>
      <c r="K24" s="654">
        <f>(1/365)*K21</f>
        <v>-372.30946067951317</v>
      </c>
      <c r="L24" s="655"/>
      <c r="M24" s="728"/>
    </row>
    <row r="26" spans="3:11" ht="15">
      <c r="C26" s="656"/>
      <c r="E26" s="657"/>
      <c r="G26" s="657"/>
      <c r="I26" s="657"/>
      <c r="K26" s="657"/>
    </row>
    <row r="27" spans="3:12" ht="15">
      <c r="C27" s="649"/>
      <c r="D27" s="634"/>
      <c r="E27" s="649"/>
      <c r="F27" s="634"/>
      <c r="G27" s="649"/>
      <c r="H27" s="634"/>
      <c r="I27" s="649"/>
      <c r="J27" s="634"/>
      <c r="K27" s="649"/>
      <c r="L27" s="634"/>
    </row>
    <row r="29" spans="5:12" ht="15">
      <c r="E29" s="634"/>
      <c r="G29" s="634"/>
      <c r="I29" s="634"/>
      <c r="K29" s="634"/>
      <c r="L29" s="634"/>
    </row>
    <row r="31" spans="5:13" ht="15.75">
      <c r="E31" s="658"/>
      <c r="M31" s="7"/>
    </row>
    <row r="32" spans="5:13" ht="15.75">
      <c r="E32" s="658"/>
      <c r="M32" s="7"/>
    </row>
    <row r="33" spans="5:13" ht="15.75">
      <c r="E33" s="658"/>
      <c r="G33" s="851" t="s">
        <v>911</v>
      </c>
      <c r="H33" s="852"/>
      <c r="M33" s="7"/>
    </row>
    <row r="35" spans="5:13" ht="15">
      <c r="E35" s="633" t="s">
        <v>151</v>
      </c>
      <c r="F35" s="633" t="s">
        <v>152</v>
      </c>
      <c r="G35" s="633" t="s">
        <v>156</v>
      </c>
      <c r="H35" s="633" t="s">
        <v>157</v>
      </c>
      <c r="I35" s="633" t="s">
        <v>158</v>
      </c>
      <c r="J35" s="633" t="s">
        <v>159</v>
      </c>
      <c r="K35" s="633" t="s">
        <v>161</v>
      </c>
      <c r="L35" s="633"/>
      <c r="M35" s="730"/>
    </row>
    <row r="36" spans="5:13" ht="42.95" customHeight="1">
      <c r="E36" s="633"/>
      <c r="F36" s="643" t="s">
        <v>777</v>
      </c>
      <c r="G36" s="732" t="s">
        <v>793</v>
      </c>
      <c r="H36" s="633" t="s">
        <v>778</v>
      </c>
      <c r="I36" s="633"/>
      <c r="J36" s="633" t="s">
        <v>779</v>
      </c>
      <c r="K36" s="643" t="s">
        <v>780</v>
      </c>
      <c r="L36" s="633"/>
      <c r="M36" s="730"/>
    </row>
    <row r="37" spans="1:11" ht="61.5" customHeight="1">
      <c r="A37" s="635" t="s">
        <v>5</v>
      </c>
      <c r="B37" s="635"/>
      <c r="C37" s="659" t="s">
        <v>781</v>
      </c>
      <c r="E37" s="660" t="s">
        <v>782</v>
      </c>
      <c r="F37" s="661" t="s">
        <v>783</v>
      </c>
      <c r="G37" s="662" t="s">
        <v>784</v>
      </c>
      <c r="H37" s="662" t="s">
        <v>785</v>
      </c>
      <c r="I37" s="662" t="s">
        <v>786</v>
      </c>
      <c r="J37" s="662" t="s">
        <v>787</v>
      </c>
      <c r="K37" s="662" t="s">
        <v>827</v>
      </c>
    </row>
    <row r="38" spans="8:11" ht="15">
      <c r="H38" s="788"/>
      <c r="I38" s="788"/>
      <c r="J38" s="789"/>
      <c r="K38" s="788"/>
    </row>
    <row r="39" spans="1:11" ht="15">
      <c r="A39" s="633">
        <v>7</v>
      </c>
      <c r="B39" s="758" t="str">
        <f>B24</f>
        <v>PTRR</v>
      </c>
      <c r="C39" s="632" t="s">
        <v>788</v>
      </c>
      <c r="E39" s="752">
        <f>'WP03 ADIT'!H10</f>
        <v>46357945.73397278</v>
      </c>
      <c r="F39" s="634">
        <f>E9+G9+I9+K9</f>
        <v>-22383095.934485599</v>
      </c>
      <c r="G39" s="634">
        <f>(C12+E12+G12+I12+K12)</f>
        <v>58735991.044128582</v>
      </c>
      <c r="H39" s="664">
        <f>E39-G39</f>
        <v>-12378045.310155801</v>
      </c>
      <c r="I39" s="663">
        <f>'WP03-B ADIT Detail'!G32</f>
        <v>1496407.991700002</v>
      </c>
      <c r="J39" s="665">
        <f>H39-I39</f>
        <v>-13874453.301855803</v>
      </c>
      <c r="K39" s="665">
        <f>E39-I39-J39</f>
        <v>58735991.044128582</v>
      </c>
    </row>
    <row r="40" spans="5:11" ht="15">
      <c r="E40" s="670"/>
      <c r="H40" s="664"/>
      <c r="I40" s="666"/>
      <c r="J40" s="664"/>
      <c r="K40" s="664"/>
    </row>
    <row r="41" spans="1:11" ht="15">
      <c r="A41" s="633">
        <v>8</v>
      </c>
      <c r="B41" s="758" t="str">
        <f>B39</f>
        <v>PTRR</v>
      </c>
      <c r="C41" s="632" t="s">
        <v>789</v>
      </c>
      <c r="E41" s="752">
        <f>'WP03 ADIT'!F10</f>
        <v>753168643.65610015</v>
      </c>
      <c r="F41" s="634">
        <f>E15+G15+I15+K15</f>
        <v>27247388.090000153</v>
      </c>
      <c r="G41" s="634">
        <f>(C18+E18+G18+I18+K18)</f>
        <v>1000467118.9231166</v>
      </c>
      <c r="H41" s="664">
        <f>E41-G41</f>
        <v>-247298475.26701641</v>
      </c>
      <c r="I41" s="663">
        <f>'WP03-B ADIT Detail'!G65</f>
        <v>-264188123.36390004</v>
      </c>
      <c r="J41" s="665">
        <f>H41-I41</f>
        <v>16889648.096883625</v>
      </c>
      <c r="K41" s="665">
        <f>-E41+I41+J41</f>
        <v>-1000467118.9231166</v>
      </c>
    </row>
    <row r="42" spans="1:11" ht="15">
      <c r="A42" s="633"/>
      <c r="B42" s="633"/>
      <c r="E42" s="670"/>
      <c r="H42" s="664"/>
      <c r="I42" s="666"/>
      <c r="J42" s="664"/>
      <c r="K42" s="664"/>
    </row>
    <row r="43" spans="1:11" ht="15">
      <c r="A43" s="633">
        <v>9</v>
      </c>
      <c r="B43" s="758" t="str">
        <f>B41</f>
        <v>PTRR</v>
      </c>
      <c r="C43" s="632" t="s">
        <v>790</v>
      </c>
      <c r="E43" s="752">
        <f>'WP03 ADIT'!G10</f>
        <v>-75475606.195599884</v>
      </c>
      <c r="F43" s="634">
        <f>E21+G21+I21+K21</f>
        <v>-543571.81259208918</v>
      </c>
      <c r="G43" s="634">
        <f>(C24+E24+G24+I24+K24)</f>
        <v>342692.6719149588</v>
      </c>
      <c r="H43" s="664">
        <f>E43-G43</f>
        <v>-75818298.867514849</v>
      </c>
      <c r="I43" s="663">
        <f>'WP03-B ADIT Detail'!G92</f>
        <v>-75481358.805599883</v>
      </c>
      <c r="J43" s="665">
        <f>H43-I43</f>
        <v>-336940.06191496551</v>
      </c>
      <c r="K43" s="665">
        <f>-E43+I43+J43</f>
        <v>-342692.67191496491</v>
      </c>
    </row>
    <row r="44" spans="1:11" ht="15">
      <c r="A44" s="633"/>
      <c r="B44" s="633"/>
      <c r="H44" s="664"/>
      <c r="I44" s="666"/>
      <c r="J44" s="664"/>
      <c r="K44" s="664"/>
    </row>
    <row r="45" spans="1:11" ht="15">
      <c r="A45" s="633">
        <v>10</v>
      </c>
      <c r="B45" s="758" t="str">
        <f>B43</f>
        <v>PTRR</v>
      </c>
      <c r="C45" s="756" t="s">
        <v>828</v>
      </c>
      <c r="E45" s="664">
        <f>E39-E41-E43</f>
        <v>-631335091.72652745</v>
      </c>
      <c r="F45" s="664">
        <f>F39-F41-F43</f>
        <v>-49086912.211893663</v>
      </c>
      <c r="G45" s="664">
        <f>G39-G41-G43</f>
        <v>-942073820.55090296</v>
      </c>
      <c r="H45" s="664">
        <f>H39-H41-H43</f>
        <v>310738728.82437545</v>
      </c>
      <c r="I45" s="664">
        <f>I39+I41+I43</f>
        <v>-338173074.17779994</v>
      </c>
      <c r="J45" s="664">
        <f>J39+J41+J43</f>
        <v>2678254.7331128567</v>
      </c>
      <c r="K45" s="664">
        <f>K39+K41+K43</f>
        <v>-942073820.55090296</v>
      </c>
    </row>
    <row r="46" spans="1:7" ht="15">
      <c r="A46" s="633"/>
      <c r="B46" s="633"/>
      <c r="E46" s="667"/>
      <c r="F46" s="667"/>
      <c r="G46" s="667"/>
    </row>
    <row r="47" spans="1:11" ht="15">
      <c r="A47" s="633"/>
      <c r="B47" s="633"/>
      <c r="E47" s="667"/>
      <c r="F47" s="667"/>
      <c r="G47" s="667"/>
      <c r="I47" s="668"/>
      <c r="J47" s="668"/>
      <c r="K47" s="668"/>
    </row>
    <row r="48" spans="1:11" ht="15">
      <c r="A48" s="633"/>
      <c r="B48" s="633"/>
      <c r="E48" s="667"/>
      <c r="F48" s="667"/>
      <c r="G48" s="667"/>
      <c r="I48" s="668"/>
      <c r="J48" s="668"/>
      <c r="K48" s="668"/>
    </row>
    <row r="49" spans="1:13" ht="15">
      <c r="A49" s="633"/>
      <c r="B49" s="633"/>
      <c r="E49" s="667"/>
      <c r="F49" s="667"/>
      <c r="G49" s="667"/>
      <c r="I49" s="668"/>
      <c r="J49" s="668"/>
      <c r="K49" s="668"/>
      <c r="M49" s="731"/>
    </row>
    <row r="50" spans="1:11" ht="15">
      <c r="A50" s="669" t="s">
        <v>791</v>
      </c>
      <c r="D50" s="667"/>
      <c r="E50" s="667"/>
      <c r="F50" s="667"/>
      <c r="I50" s="668"/>
      <c r="J50" s="668"/>
      <c r="K50" s="668"/>
    </row>
    <row r="51" spans="1:11" ht="14.45" customHeight="1">
      <c r="A51" s="691" t="s">
        <v>834</v>
      </c>
      <c r="B51" s="690"/>
      <c r="C51" s="672"/>
      <c r="D51" s="672"/>
      <c r="E51" s="672"/>
      <c r="F51" s="672"/>
      <c r="H51" s="692"/>
      <c r="I51" s="693"/>
      <c r="J51" s="693"/>
      <c r="K51" s="668"/>
    </row>
    <row r="52" spans="1:1" ht="15">
      <c r="A52" s="757" t="s">
        <v>829</v>
      </c>
    </row>
    <row r="53" spans="1:1" ht="15">
      <c r="A53" s="633"/>
    </row>
    <row r="54" spans="1:1" ht="15">
      <c r="A54" s="633"/>
    </row>
  </sheetData>
  <mergeCells count="2">
    <mergeCell ref="E6:L6"/>
    <mergeCell ref="G33:H33"/>
  </mergeCells>
  <pageMargins left="0.7" right="0.7" top="0.75" bottom="0.75" header="0.3" footer="0.3"/>
  <pageSetup orientation="landscape" scale="50" r:id="rId1"/>
  <colBreaks count="1" manualBreakCount="1">
    <brk id="13" max="36"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9374C-A56F-4186-BB58-1B99A330AB76}">
  <sheetPr codeName="Sheet25"/>
  <dimension ref="A1:J100"/>
  <sheetViews>
    <sheetView view="pageBreakPreview" zoomScale="70" zoomScaleNormal="100" zoomScaleSheetLayoutView="70" workbookViewId="0" topLeftCell="A1">
      <pane ySplit="5" topLeftCell="A6" activePane="bottomLeft" state="frozen"/>
      <selection pane="topLeft" activeCell="L47" sqref="L47"/>
      <selection pane="bottomLeft" activeCell="H20" sqref="H20"/>
    </sheetView>
  </sheetViews>
  <sheetFormatPr defaultColWidth="8.66555555555555" defaultRowHeight="15"/>
  <cols>
    <col min="1" max="1" width="6.44444444444444" style="736" customWidth="1"/>
    <col min="2" max="2" width="33" style="733" customWidth="1"/>
    <col min="3" max="4" width="12.2222222222222" style="742" bestFit="1" customWidth="1"/>
    <col min="5" max="5" width="13.2222222222222" style="742" bestFit="1" customWidth="1"/>
    <col min="6" max="7" width="12.7777777777778" style="742" bestFit="1" customWidth="1"/>
    <col min="8" max="8" width="14.6666666666667" style="733" customWidth="1"/>
    <col min="9" max="10" width="12.6666666666667" style="733" customWidth="1"/>
    <col min="11" max="16384" width="8.66666666666667" style="733"/>
  </cols>
  <sheetData>
    <row r="1" spans="1:1" ht="15.75">
      <c r="A1" s="694" t="str">
        <f ca="1">RIGHT(CELL("filename",D2),LEN(CELL("filename",D2))-FIND("]",CELL("filename",D2)))</f>
        <v>WP03-B ADIT Detail</v>
      </c>
    </row>
    <row r="2" spans="3:10" ht="15">
      <c r="C2" s="853" t="s">
        <v>830</v>
      </c>
      <c r="D2" s="853"/>
      <c r="E2" s="853"/>
      <c r="F2" s="853"/>
      <c r="G2" s="853"/>
      <c r="I2" s="853" t="s">
        <v>831</v>
      </c>
      <c r="J2" s="853"/>
    </row>
    <row r="3" spans="1:10" s="745" customFormat="1" ht="15">
      <c r="A3" s="736"/>
      <c r="B3" s="745" t="s">
        <v>364</v>
      </c>
      <c r="C3" s="746" t="s">
        <v>378</v>
      </c>
      <c r="D3" s="746" t="s">
        <v>507</v>
      </c>
      <c r="E3" s="746" t="s">
        <v>548</v>
      </c>
      <c r="F3" s="746" t="s">
        <v>551</v>
      </c>
      <c r="G3" s="746" t="s">
        <v>612</v>
      </c>
      <c r="I3" s="746" t="s">
        <v>613</v>
      </c>
      <c r="J3" s="746" t="s">
        <v>614</v>
      </c>
    </row>
    <row r="4" spans="3:10" s="735" customFormat="1" ht="15">
      <c r="C4" s="744">
        <f>'WP03 ADIT'!C6</f>
        <v>2022</v>
      </c>
      <c r="D4" s="744">
        <f>C4+1</f>
        <v>2023</v>
      </c>
      <c r="E4" s="744">
        <f>D4</f>
        <v>2023</v>
      </c>
      <c r="F4" s="744">
        <f t="shared" si="0" ref="F4">E4</f>
        <v>2023</v>
      </c>
      <c r="G4" s="744">
        <f>F4</f>
        <v>2023</v>
      </c>
      <c r="I4" s="744">
        <f>C4</f>
        <v>2022</v>
      </c>
      <c r="J4" s="744">
        <f>I4+1</f>
        <v>2023</v>
      </c>
    </row>
    <row r="5" spans="1:10" s="734" customFormat="1" ht="30">
      <c r="A5" s="735" t="s">
        <v>5</v>
      </c>
      <c r="B5" s="734" t="s">
        <v>815</v>
      </c>
      <c r="C5" s="743" t="s">
        <v>796</v>
      </c>
      <c r="D5" s="743" t="s">
        <v>797</v>
      </c>
      <c r="E5" s="743" t="s">
        <v>798</v>
      </c>
      <c r="F5" s="743" t="s">
        <v>799</v>
      </c>
      <c r="G5" s="743" t="s">
        <v>800</v>
      </c>
      <c r="I5" s="743" t="s">
        <v>796</v>
      </c>
      <c r="J5" s="743" t="s">
        <v>800</v>
      </c>
    </row>
    <row r="6" spans="1:10" ht="15">
      <c r="A6" s="736">
        <v>1</v>
      </c>
      <c r="B6" s="734" t="s">
        <v>808</v>
      </c>
      <c r="I6" s="742"/>
      <c r="J6" s="742"/>
    </row>
    <row r="7" spans="9:10" ht="15">
      <c r="I7" s="742"/>
      <c r="J7" s="742"/>
    </row>
    <row r="8" spans="1:10" ht="15">
      <c r="A8" s="738">
        <v>1.01</v>
      </c>
      <c r="B8" s="737" t="s">
        <v>882</v>
      </c>
      <c r="C8" s="747">
        <v>14599419.189999999</v>
      </c>
      <c r="D8" s="747">
        <v>14911484.9725</v>
      </c>
      <c r="E8" s="747">
        <v>15223550.755000001</v>
      </c>
      <c r="F8" s="747">
        <v>15535616.537500001</v>
      </c>
      <c r="G8" s="747">
        <v>15847682.32</v>
      </c>
      <c r="I8" s="747"/>
      <c r="J8" s="747"/>
    </row>
    <row r="9" spans="1:10" ht="15">
      <c r="A9" s="738">
        <f>A8+0.01</f>
        <v>1.02</v>
      </c>
      <c r="B9" s="737" t="s">
        <v>804</v>
      </c>
      <c r="C9" s="747">
        <v>6751298.9499999993</v>
      </c>
      <c r="D9" s="747">
        <v>6495592.5624999991</v>
      </c>
      <c r="E9" s="747">
        <v>6239886.1749999989</v>
      </c>
      <c r="F9" s="747">
        <v>5984179.7874999987</v>
      </c>
      <c r="G9" s="747">
        <v>5728473.3999999994</v>
      </c>
      <c r="I9" s="747"/>
      <c r="J9" s="747"/>
    </row>
    <row r="10" spans="1:10" ht="15">
      <c r="A10" s="738">
        <f t="shared" si="1" ref="A10:A19">A9+0.01</f>
        <v>1.03</v>
      </c>
      <c r="B10" s="737" t="s">
        <v>883</v>
      </c>
      <c r="C10" s="747">
        <v>-4999722.944600001</v>
      </c>
      <c r="D10" s="747">
        <v>-4807808.5605250001</v>
      </c>
      <c r="E10" s="747">
        <v>-4615894.1764499992</v>
      </c>
      <c r="F10" s="747">
        <v>-4423979.7923749983</v>
      </c>
      <c r="G10" s="747">
        <v>-4232065.4082999974</v>
      </c>
      <c r="I10" s="747"/>
      <c r="J10" s="747"/>
    </row>
    <row r="11" spans="1:10" ht="15">
      <c r="A11" s="738">
        <f t="shared" si="1"/>
        <v>1.04</v>
      </c>
      <c r="B11" s="737" t="s">
        <v>897</v>
      </c>
      <c r="C11" s="747">
        <v>49735962.390821181</v>
      </c>
      <c r="D11" s="747">
        <v>44186350.24199497</v>
      </c>
      <c r="E11" s="747">
        <v>38636738.093168758</v>
      </c>
      <c r="F11" s="747">
        <v>33087125.944342542</v>
      </c>
      <c r="G11" s="747">
        <v>27537513.795516323</v>
      </c>
      <c r="I11" s="747"/>
      <c r="J11" s="747"/>
    </row>
    <row r="12" spans="1:10" ht="15">
      <c r="A12" s="738">
        <f t="shared" si="1"/>
        <v>1.05</v>
      </c>
      <c r="B12" s="737" t="s">
        <v>867</v>
      </c>
      <c r="C12" s="747">
        <v>665949.49334510998</v>
      </c>
      <c r="D12" s="747">
        <v>606085.77589048503</v>
      </c>
      <c r="E12" s="747">
        <v>546222.05843586009</v>
      </c>
      <c r="F12" s="747">
        <v>486358.34098123515</v>
      </c>
      <c r="G12" s="747">
        <v>426494.62352661008</v>
      </c>
      <c r="I12" s="747"/>
      <c r="J12" s="747"/>
    </row>
    <row r="13" spans="1:10" ht="15">
      <c r="A13" s="738">
        <f t="shared" si="1"/>
        <v>1.0600000000000001</v>
      </c>
      <c r="B13" s="737" t="s">
        <v>898</v>
      </c>
      <c r="C13" s="747">
        <v>2237549.9925920828</v>
      </c>
      <c r="D13" s="747">
        <v>1939186.0927515221</v>
      </c>
      <c r="E13" s="747">
        <v>1640822.1929109613</v>
      </c>
      <c r="F13" s="747">
        <v>1342458.2930704006</v>
      </c>
      <c r="G13" s="747">
        <v>1044094.3932298396</v>
      </c>
      <c r="I13" s="747"/>
      <c r="J13" s="747"/>
    </row>
    <row r="14" spans="1:10" ht="15">
      <c r="A14" s="738">
        <f t="shared" si="1"/>
        <v>1.0700000000000001</v>
      </c>
      <c r="B14" s="737" t="s">
        <v>868</v>
      </c>
      <c r="C14" s="747">
        <v>5752.6099999999997</v>
      </c>
      <c r="D14" s="747">
        <v>5752.6099999999997</v>
      </c>
      <c r="E14" s="747">
        <v>5752.6099999999997</v>
      </c>
      <c r="F14" s="747">
        <v>5752.6099999999997</v>
      </c>
      <c r="G14" s="747">
        <v>5752.6099999999997</v>
      </c>
      <c r="I14" s="747"/>
      <c r="J14" s="747"/>
    </row>
    <row r="15" spans="1:10" ht="15">
      <c r="A15" s="738">
        <f t="shared" si="1"/>
        <v>1.0800000000000001</v>
      </c>
      <c r="B15" s="737" t="s">
        <v>899</v>
      </c>
      <c r="C15" s="747"/>
      <c r="D15" s="747"/>
      <c r="E15" s="747"/>
      <c r="F15" s="747"/>
      <c r="G15" s="747"/>
      <c r="I15" s="747">
        <v>208513.79673745646</v>
      </c>
      <c r="J15" s="747">
        <v>122599.55866784467</v>
      </c>
    </row>
    <row r="16" spans="1:10" ht="15">
      <c r="A16" s="738">
        <f t="shared" si="1"/>
        <v>1.0900000000000001</v>
      </c>
      <c r="B16" s="737" t="s">
        <v>900</v>
      </c>
      <c r="C16" s="747"/>
      <c r="D16" s="747"/>
      <c r="E16" s="747"/>
      <c r="F16" s="747"/>
      <c r="G16" s="747"/>
      <c r="I16" s="747">
        <v>767824.6780782094</v>
      </c>
      <c r="J16" s="747">
        <v>817467.09465335601</v>
      </c>
    </row>
    <row r="17" spans="1:10" ht="15">
      <c r="A17" s="738">
        <f t="shared" si="1"/>
        <v>1.1000000000000001</v>
      </c>
      <c r="B17" s="737" t="s">
        <v>901</v>
      </c>
      <c r="C17" s="747"/>
      <c r="D17" s="747"/>
      <c r="E17" s="747"/>
      <c r="F17" s="747"/>
      <c r="G17" s="747"/>
      <c r="I17" s="747">
        <v>1196.6400404969847</v>
      </c>
      <c r="J17" s="747">
        <v>1255.2221366362351</v>
      </c>
    </row>
    <row r="18" spans="1:10" ht="15">
      <c r="A18" s="738">
        <f t="shared" si="1"/>
        <v>1.1100000000000001</v>
      </c>
      <c r="B18" s="737" t="s">
        <v>902</v>
      </c>
      <c r="C18" s="747"/>
      <c r="D18" s="747"/>
      <c r="E18" s="747"/>
      <c r="F18" s="747"/>
      <c r="G18" s="747"/>
      <c r="I18" s="747">
        <v>9443540.6720874254</v>
      </c>
      <c r="J18" s="747">
        <v>0</v>
      </c>
    </row>
    <row r="19" spans="1:10" ht="15">
      <c r="A19" s="738">
        <f t="shared" si="1"/>
        <v>1.1200000000000001</v>
      </c>
      <c r="B19" s="737" t="s">
        <v>869</v>
      </c>
      <c r="C19" s="747"/>
      <c r="D19" s="747"/>
      <c r="E19" s="747"/>
      <c r="F19" s="747"/>
      <c r="G19" s="747"/>
      <c r="I19" s="747">
        <v>67186.729999999996</v>
      </c>
      <c r="J19" s="747">
        <v>67186.729999999996</v>
      </c>
    </row>
    <row r="20" spans="1:10" ht="15">
      <c r="A20" s="738" t="s">
        <v>951</v>
      </c>
      <c r="B20" s="737"/>
      <c r="C20" s="748"/>
      <c r="D20" s="748"/>
      <c r="E20" s="748"/>
      <c r="F20" s="748"/>
      <c r="G20" s="748"/>
      <c r="I20" s="748"/>
      <c r="J20" s="748"/>
    </row>
    <row r="21" spans="1:10" ht="15">
      <c r="A21" s="736">
        <v>2</v>
      </c>
      <c r="B21" s="740" t="s">
        <v>801</v>
      </c>
      <c r="C21" s="742">
        <f>SUM(C8:C20)</f>
        <v>68996209.682158381</v>
      </c>
      <c r="D21" s="742">
        <f>SUM(D8:D20)</f>
        <v>63336643.695111983</v>
      </c>
      <c r="E21" s="742">
        <f>SUM(E8:E20)</f>
        <v>57677077.708065577</v>
      </c>
      <c r="F21" s="742">
        <f>SUM(F8:F20)</f>
        <v>52017511.721019179</v>
      </c>
      <c r="G21" s="742">
        <f>SUM(G8:G20)</f>
        <v>46357945.73397278</v>
      </c>
      <c r="I21" s="742">
        <f>SUM(I8:I20)</f>
        <v>10488262.516943589</v>
      </c>
      <c r="J21" s="742">
        <f>SUM(J8:J20)</f>
        <v>1008508.6054578369</v>
      </c>
    </row>
    <row r="22" spans="9:10" ht="15">
      <c r="I22" s="742"/>
      <c r="J22" s="742"/>
    </row>
    <row r="23" spans="1:10" ht="15">
      <c r="A23" s="736">
        <v>3</v>
      </c>
      <c r="B23" s="734" t="s">
        <v>802</v>
      </c>
      <c r="I23" s="742"/>
      <c r="J23" s="742"/>
    </row>
    <row r="24" spans="9:10" ht="15">
      <c r="I24" s="742"/>
      <c r="J24" s="742"/>
    </row>
    <row r="25" spans="1:10" ht="15">
      <c r="A25" s="749">
        <v>3.0099999999999998</v>
      </c>
      <c r="B25" s="740" t="s">
        <v>540</v>
      </c>
      <c r="C25" s="747"/>
      <c r="D25" s="747"/>
      <c r="E25" s="747"/>
      <c r="F25" s="747"/>
      <c r="G25" s="747"/>
      <c r="I25" s="747">
        <f>I16</f>
        <v>767824.6780782094</v>
      </c>
      <c r="J25" s="747">
        <f>J16</f>
        <v>817467.09465335601</v>
      </c>
    </row>
    <row r="26" spans="1:10" ht="15">
      <c r="A26" s="749">
        <v>3.02</v>
      </c>
      <c r="B26" s="740" t="s">
        <v>803</v>
      </c>
      <c r="C26" s="747"/>
      <c r="D26" s="747"/>
      <c r="E26" s="747"/>
      <c r="F26" s="747"/>
      <c r="G26" s="747"/>
      <c r="I26" s="747">
        <f>I17</f>
        <v>1196.6400404969847</v>
      </c>
      <c r="J26" s="747">
        <f>J17</f>
        <v>1255.2221366362351</v>
      </c>
    </row>
    <row r="27" spans="1:10" ht="15">
      <c r="A27" s="749">
        <v>3.0299999999999998</v>
      </c>
      <c r="B27" s="740" t="s">
        <v>550</v>
      </c>
      <c r="C27" s="747"/>
      <c r="D27" s="747"/>
      <c r="E27" s="747"/>
      <c r="F27" s="747"/>
      <c r="G27" s="747"/>
      <c r="I27" s="747"/>
      <c r="J27" s="747"/>
    </row>
    <row r="28" spans="1:10" ht="15">
      <c r="A28" s="749">
        <v>3.04</v>
      </c>
      <c r="B28" s="740" t="s">
        <v>545</v>
      </c>
      <c r="C28" s="747"/>
      <c r="D28" s="747"/>
      <c r="E28" s="747"/>
      <c r="F28" s="747"/>
      <c r="G28" s="747"/>
      <c r="I28" s="747"/>
      <c r="J28" s="747"/>
    </row>
    <row r="29" spans="1:10" ht="15">
      <c r="A29" s="749">
        <v>3.0499999999999998</v>
      </c>
      <c r="B29" s="740" t="s">
        <v>804</v>
      </c>
      <c r="C29" s="747">
        <f t="shared" si="2" ref="C29:G30">C9</f>
        <v>6751298.9499999993</v>
      </c>
      <c r="D29" s="747">
        <f t="shared" si="2"/>
        <v>6495592.5624999991</v>
      </c>
      <c r="E29" s="747">
        <f>E9</f>
        <v>6239886.1749999989</v>
      </c>
      <c r="F29" s="747">
        <f t="shared" si="2"/>
        <v>5984179.7874999987</v>
      </c>
      <c r="G29" s="747">
        <f t="shared" si="2"/>
        <v>5728473.3999999994</v>
      </c>
      <c r="I29" s="747"/>
      <c r="J29" s="747"/>
    </row>
    <row r="30" spans="1:10" ht="15">
      <c r="A30" s="749">
        <v>3.0600000000000001</v>
      </c>
      <c r="B30" s="740" t="s">
        <v>546</v>
      </c>
      <c r="C30" s="747">
        <f t="shared" si="2"/>
        <v>-4999722.944600001</v>
      </c>
      <c r="D30" s="747">
        <f t="shared" si="2"/>
        <v>-4807808.5605250001</v>
      </c>
      <c r="E30" s="747">
        <f t="shared" si="2"/>
        <v>-4615894.1764499992</v>
      </c>
      <c r="F30" s="747">
        <f t="shared" si="2"/>
        <v>-4423979.7923749983</v>
      </c>
      <c r="G30" s="747">
        <f t="shared" si="2"/>
        <v>-4232065.4082999974</v>
      </c>
      <c r="I30" s="747">
        <v>-29561136</v>
      </c>
      <c r="J30" s="747">
        <v>-27941696</v>
      </c>
    </row>
    <row r="31" spans="1:10" ht="15">
      <c r="A31" s="739" t="s">
        <v>806</v>
      </c>
      <c r="B31" s="737"/>
      <c r="C31" s="748"/>
      <c r="D31" s="748"/>
      <c r="E31" s="748"/>
      <c r="F31" s="748"/>
      <c r="G31" s="748"/>
      <c r="I31" s="748"/>
      <c r="J31" s="748"/>
    </row>
    <row r="32" spans="1:10" ht="15">
      <c r="A32" s="736">
        <v>4</v>
      </c>
      <c r="B32" s="740" t="s">
        <v>805</v>
      </c>
      <c r="C32" s="742">
        <f>SUM(C25:C31)</f>
        <v>1751576.0053999983</v>
      </c>
      <c r="D32" s="742">
        <f t="shared" si="3" ref="D32:F32">SUM(D25:D31)</f>
        <v>1687784.001974999</v>
      </c>
      <c r="E32" s="742">
        <f t="shared" si="3"/>
        <v>1623991.9985499997</v>
      </c>
      <c r="F32" s="742">
        <f t="shared" si="3"/>
        <v>1560199.9951250004</v>
      </c>
      <c r="G32" s="742">
        <f>SUM(G25:G31)</f>
        <v>1496407.991700002</v>
      </c>
      <c r="I32" s="742">
        <f>SUM(I25:I31)</f>
        <v>-28792114.681881294</v>
      </c>
      <c r="J32" s="742">
        <f>SUM(J25:J31)</f>
        <v>-27122973.683210008</v>
      </c>
    </row>
    <row r="33" spans="3:10" ht="15">
      <c r="C33" s="755"/>
      <c r="D33" s="755"/>
      <c r="E33" s="755"/>
      <c r="F33" s="755"/>
      <c r="G33" s="755"/>
      <c r="I33" s="755"/>
      <c r="J33" s="755"/>
    </row>
    <row r="34" spans="1:10" ht="15">
      <c r="A34" s="736">
        <v>5</v>
      </c>
      <c r="B34" s="734" t="s">
        <v>816</v>
      </c>
      <c r="C34" s="742">
        <f>C21-C32</f>
        <v>67244633.676758379</v>
      </c>
      <c r="D34" s="742">
        <f>D21-D32</f>
        <v>61648859.693136983</v>
      </c>
      <c r="E34" s="742">
        <f t="shared" si="4" ref="E34:F34">E21-E32</f>
        <v>56053085.709515579</v>
      </c>
      <c r="F34" s="742">
        <f t="shared" si="4"/>
        <v>50457311.725894175</v>
      </c>
      <c r="G34" s="742">
        <f>G21-G32</f>
        <v>44861537.742272779</v>
      </c>
      <c r="I34" s="742">
        <f>I21-I32</f>
        <v>39280377.198824883</v>
      </c>
      <c r="J34" s="742">
        <f>J21-J32</f>
        <v>28131482.288667846</v>
      </c>
    </row>
    <row r="35" spans="9:10" ht="15">
      <c r="I35" s="742"/>
      <c r="J35" s="742"/>
    </row>
    <row r="36" spans="1:10" ht="15">
      <c r="A36" s="736">
        <v>6</v>
      </c>
      <c r="B36" s="734" t="s">
        <v>807</v>
      </c>
      <c r="I36" s="742"/>
      <c r="J36" s="742"/>
    </row>
    <row r="37" spans="2:10" ht="15">
      <c r="B37" s="734"/>
      <c r="I37" s="742"/>
      <c r="J37" s="742"/>
    </row>
    <row r="38" spans="1:10" ht="15">
      <c r="A38" s="738">
        <v>6.0099999999999998</v>
      </c>
      <c r="B38" s="737" t="s">
        <v>884</v>
      </c>
      <c r="C38" s="747">
        <v>150099523.72000006</v>
      </c>
      <c r="D38" s="747">
        <v>148884493.55750006</v>
      </c>
      <c r="E38" s="747">
        <v>147669463.39500007</v>
      </c>
      <c r="F38" s="747">
        <v>146454433.23250008</v>
      </c>
      <c r="G38" s="747">
        <v>145239403.07000011</v>
      </c>
      <c r="I38" s="747"/>
      <c r="J38" s="747"/>
    </row>
    <row r="39" spans="1:10" ht="15">
      <c r="A39" s="738">
        <f>A38+0.01</f>
        <v>6.0199999999999996</v>
      </c>
      <c r="B39" s="737" t="s">
        <v>885</v>
      </c>
      <c r="C39" s="747">
        <v>743961461.91999996</v>
      </c>
      <c r="D39" s="747">
        <v>746876737.96749997</v>
      </c>
      <c r="E39" s="747">
        <v>749792014.01499999</v>
      </c>
      <c r="F39" s="747">
        <v>752707290.0625</v>
      </c>
      <c r="G39" s="747">
        <v>755622566.1099999</v>
      </c>
      <c r="I39" s="747"/>
      <c r="J39" s="747"/>
    </row>
    <row r="40" spans="1:10" ht="15">
      <c r="A40" s="738">
        <f t="shared" si="5" ref="A40:A50">A39+0.01</f>
        <v>6.0299999999999994</v>
      </c>
      <c r="B40" s="737" t="s">
        <v>886</v>
      </c>
      <c r="C40" s="747">
        <v>10736020.380000001</v>
      </c>
      <c r="D40" s="747">
        <v>10839719.340000002</v>
      </c>
      <c r="E40" s="747">
        <v>10943418.300000003</v>
      </c>
      <c r="F40" s="747">
        <v>11047117.260000004</v>
      </c>
      <c r="G40" s="747">
        <v>11150816.220000003</v>
      </c>
      <c r="I40" s="747"/>
      <c r="J40" s="747"/>
    </row>
    <row r="41" spans="1:10" ht="15">
      <c r="A41" s="738">
        <f t="shared" si="5"/>
        <v>6.0399999999999991</v>
      </c>
      <c r="B41" s="737" t="s">
        <v>758</v>
      </c>
      <c r="C41" s="747">
        <v>24482591.957299996</v>
      </c>
      <c r="D41" s="747">
        <v>25597727.791449998</v>
      </c>
      <c r="E41" s="747">
        <v>26712863.625599999</v>
      </c>
      <c r="F41" s="747">
        <v>27827999.45975</v>
      </c>
      <c r="G41" s="747">
        <v>28943135.293900002</v>
      </c>
      <c r="I41" s="747"/>
      <c r="J41" s="747"/>
    </row>
    <row r="42" spans="1:10" ht="15">
      <c r="A42" s="738">
        <f t="shared" si="5"/>
        <v>6.0499999999999989</v>
      </c>
      <c r="B42" s="737" t="s">
        <v>887</v>
      </c>
      <c r="C42" s="747">
        <v>962.45999999999992</v>
      </c>
      <c r="D42" s="747">
        <v>917.97749999999996</v>
      </c>
      <c r="E42" s="747">
        <v>873.49499999999989</v>
      </c>
      <c r="F42" s="747">
        <v>829.01249999999982</v>
      </c>
      <c r="G42" s="747">
        <v>784.52999999999986</v>
      </c>
      <c r="I42" s="747"/>
      <c r="J42" s="747"/>
    </row>
    <row r="43" spans="1:10" ht="15">
      <c r="A43" s="738">
        <f t="shared" si="5"/>
        <v>6.0599999999999987</v>
      </c>
      <c r="B43" s="737" t="s">
        <v>888</v>
      </c>
      <c r="C43" s="747">
        <v>2448675.9500000011</v>
      </c>
      <c r="D43" s="747">
        <v>2401501.6100000013</v>
      </c>
      <c r="E43" s="747">
        <v>2354327.2700000014</v>
      </c>
      <c r="F43" s="747">
        <v>2307152.9300000016</v>
      </c>
      <c r="G43" s="747">
        <v>2259978.5900000012</v>
      </c>
      <c r="I43" s="747"/>
      <c r="J43" s="747"/>
    </row>
    <row r="44" spans="1:10" ht="15">
      <c r="A44" s="738">
        <f t="shared" si="5"/>
        <v>6.0699999999999985</v>
      </c>
      <c r="B44" s="737" t="s">
        <v>889</v>
      </c>
      <c r="C44" s="747">
        <v>11188897.939999999</v>
      </c>
      <c r="D44" s="747">
        <v>11227673.924999999</v>
      </c>
      <c r="E44" s="747">
        <v>11266449.909999998</v>
      </c>
      <c r="F44" s="747">
        <v>11305225.894999998</v>
      </c>
      <c r="G44" s="747">
        <v>11344001.879999999</v>
      </c>
      <c r="I44" s="747"/>
      <c r="J44" s="747"/>
    </row>
    <row r="45" spans="1:10" ht="15">
      <c r="A45" s="738">
        <f t="shared" si="5"/>
        <v>6.0799999999999983</v>
      </c>
      <c r="B45" s="737" t="s">
        <v>890</v>
      </c>
      <c r="C45" s="747">
        <v>721438.28000000014</v>
      </c>
      <c r="D45" s="747">
        <v>718563.30750000011</v>
      </c>
      <c r="E45" s="747">
        <v>715688.33500000008</v>
      </c>
      <c r="F45" s="747">
        <v>712813.36250000005</v>
      </c>
      <c r="G45" s="747">
        <v>709938.39000000001</v>
      </c>
      <c r="I45" s="747"/>
      <c r="J45" s="747"/>
    </row>
    <row r="46" spans="1:10" ht="15">
      <c r="A46" s="738">
        <f t="shared" si="5"/>
        <v>6.0899999999999981</v>
      </c>
      <c r="B46" s="737" t="s">
        <v>891</v>
      </c>
      <c r="C46" s="747">
        <v>15989524.58</v>
      </c>
      <c r="D46" s="747">
        <v>16296762.020000001</v>
      </c>
      <c r="E46" s="747">
        <v>16603999.460000003</v>
      </c>
      <c r="F46" s="747">
        <v>16911236.900000002</v>
      </c>
      <c r="G46" s="747">
        <v>17218474.340000004</v>
      </c>
      <c r="I46" s="747"/>
      <c r="J46" s="747"/>
    </row>
    <row r="47" spans="1:10" ht="15">
      <c r="A47" s="738">
        <f t="shared" si="5"/>
        <v>6.0999999999999979</v>
      </c>
      <c r="B47" s="737" t="s">
        <v>892</v>
      </c>
      <c r="C47" s="747">
        <v>-113973.78</v>
      </c>
      <c r="D47" s="747">
        <v>-113223.42499999999</v>
      </c>
      <c r="E47" s="747">
        <v>-112473.06999999998</v>
      </c>
      <c r="F47" s="747">
        <v>-111722.71499999997</v>
      </c>
      <c r="G47" s="747">
        <v>-110972.35999999999</v>
      </c>
      <c r="I47" s="747"/>
      <c r="J47" s="747"/>
    </row>
    <row r="48" spans="1:10" ht="15">
      <c r="A48" s="738">
        <f t="shared" si="5"/>
        <v>6.1099999999999977</v>
      </c>
      <c r="B48" s="737" t="s">
        <v>893</v>
      </c>
      <c r="C48" s="747">
        <v>-59971610.309999928</v>
      </c>
      <c r="D48" s="747">
        <v>-59423543.324999928</v>
      </c>
      <c r="E48" s="747">
        <v>-58875476.339999929</v>
      </c>
      <c r="F48" s="747">
        <v>-58327409.35499993</v>
      </c>
      <c r="G48" s="747">
        <v>-57779342.369999945</v>
      </c>
      <c r="I48" s="747"/>
      <c r="J48" s="747"/>
    </row>
    <row r="49" spans="1:10" ht="15">
      <c r="A49" s="738">
        <f t="shared" si="5"/>
        <v>6.1199999999999974</v>
      </c>
      <c r="B49" s="737" t="s">
        <v>894</v>
      </c>
      <c r="C49" s="747">
        <v>114935446.47</v>
      </c>
      <c r="D49" s="747">
        <v>119099317.55000001</v>
      </c>
      <c r="E49" s="747">
        <v>123263188.63000003</v>
      </c>
      <c r="F49" s="747">
        <v>127427059.71000004</v>
      </c>
      <c r="G49" s="747">
        <v>131590930.79000004</v>
      </c>
      <c r="I49" s="747"/>
      <c r="J49" s="747"/>
    </row>
    <row r="50" spans="1:10" ht="15">
      <c r="A50" s="738">
        <f t="shared" si="5"/>
        <v>6.1299999999999972</v>
      </c>
      <c r="B50" s="737" t="s">
        <v>883</v>
      </c>
      <c r="C50" s="747">
        <v>-298518409.77590042</v>
      </c>
      <c r="D50" s="747">
        <v>-297144075.03887534</v>
      </c>
      <c r="E50" s="747">
        <v>-295769740.30185026</v>
      </c>
      <c r="F50" s="747">
        <v>-294395405.56482518</v>
      </c>
      <c r="G50" s="747">
        <v>-293021070.82780004</v>
      </c>
      <c r="I50" s="747"/>
      <c r="J50" s="747"/>
    </row>
    <row r="51" spans="1:10" ht="15">
      <c r="A51" s="738" t="s">
        <v>950</v>
      </c>
      <c r="B51" s="737"/>
      <c r="C51" s="748"/>
      <c r="D51" s="748"/>
      <c r="E51" s="748"/>
      <c r="F51" s="748"/>
      <c r="G51" s="748"/>
      <c r="I51" s="748"/>
      <c r="J51" s="748"/>
    </row>
    <row r="52" spans="1:10" ht="15">
      <c r="A52" s="736">
        <v>7</v>
      </c>
      <c r="B52" s="740" t="s">
        <v>819</v>
      </c>
      <c r="C52" s="742">
        <f>SUM(C38:C51)</f>
        <v>715960549.79139972</v>
      </c>
      <c r="D52" s="742">
        <f>SUM(D38:D51)</f>
        <v>725262573.2575748</v>
      </c>
      <c r="E52" s="742">
        <f>SUM(E38:E51)</f>
        <v>734564596.72374988</v>
      </c>
      <c r="F52" s="742">
        <f>SUM(F38:F51)</f>
        <v>743866620.18992496</v>
      </c>
      <c r="G52" s="742">
        <f>SUM(G38:G51)</f>
        <v>753168643.65610015</v>
      </c>
      <c r="I52" s="742">
        <f>SUM(I38:I51)</f>
        <v>0</v>
      </c>
      <c r="J52" s="742">
        <f>SUM(J38:J51)</f>
        <v>0</v>
      </c>
    </row>
    <row r="53" spans="9:10" ht="15">
      <c r="I53" s="742"/>
      <c r="J53" s="742"/>
    </row>
    <row r="54" spans="1:10" ht="15">
      <c r="A54" s="736">
        <v>8</v>
      </c>
      <c r="B54" s="734" t="s">
        <v>809</v>
      </c>
      <c r="I54" s="742"/>
      <c r="J54" s="742"/>
    </row>
    <row r="55" spans="2:10" ht="15">
      <c r="B55" s="734"/>
      <c r="I55" s="742"/>
      <c r="J55" s="742"/>
    </row>
    <row r="56" spans="1:10" ht="15">
      <c r="A56" s="749">
        <v>8.0099999999999998</v>
      </c>
      <c r="B56" s="740" t="s">
        <v>540</v>
      </c>
      <c r="C56" s="747">
        <f>C42</f>
        <v>962.45999999999992</v>
      </c>
      <c r="D56" s="747">
        <f>D42</f>
        <v>917.97749999999996</v>
      </c>
      <c r="E56" s="747">
        <f>E42</f>
        <v>873.49499999999989</v>
      </c>
      <c r="F56" s="747">
        <f>F42</f>
        <v>829.01249999999982</v>
      </c>
      <c r="G56" s="747">
        <f>G42</f>
        <v>784.52999999999986</v>
      </c>
      <c r="I56" s="747"/>
      <c r="J56" s="747"/>
    </row>
    <row r="57" spans="1:10" ht="15">
      <c r="A57" s="749">
        <v>8.0199999999999996</v>
      </c>
      <c r="B57" s="740" t="s">
        <v>803</v>
      </c>
      <c r="C57" s="747"/>
      <c r="D57" s="747"/>
      <c r="E57" s="747"/>
      <c r="F57" s="747"/>
      <c r="G57" s="747"/>
      <c r="I57" s="747"/>
      <c r="J57" s="747"/>
    </row>
    <row r="58" spans="1:10" ht="15">
      <c r="A58" s="749">
        <v>8.0299999999999994</v>
      </c>
      <c r="B58" s="740" t="s">
        <v>810</v>
      </c>
      <c r="C58" s="747"/>
      <c r="D58" s="747"/>
      <c r="E58" s="747"/>
      <c r="F58" s="747"/>
      <c r="G58" s="747"/>
      <c r="I58" s="747"/>
      <c r="J58" s="747"/>
    </row>
    <row r="59" spans="1:10" ht="15">
      <c r="A59" s="749">
        <v>8.0399999999999991</v>
      </c>
      <c r="B59" s="740" t="s">
        <v>545</v>
      </c>
      <c r="C59" s="747">
        <f>C47</f>
        <v>-113973.78</v>
      </c>
      <c r="D59" s="747">
        <f>D47</f>
        <v>-113223.42499999999</v>
      </c>
      <c r="E59" s="747">
        <f>E47</f>
        <v>-112473.06999999998</v>
      </c>
      <c r="F59" s="747">
        <f>F47</f>
        <v>-111722.71499999997</v>
      </c>
      <c r="G59" s="747">
        <f>G47</f>
        <v>-110972.35999999999</v>
      </c>
      <c r="I59" s="747"/>
      <c r="J59" s="747"/>
    </row>
    <row r="60" spans="1:10" ht="15">
      <c r="A60" s="749">
        <v>8.0500000000000007</v>
      </c>
      <c r="B60" s="740" t="s">
        <v>804</v>
      </c>
      <c r="C60" s="747"/>
      <c r="D60" s="747"/>
      <c r="E60" s="747"/>
      <c r="F60" s="747"/>
      <c r="G60" s="747"/>
      <c r="I60" s="747"/>
      <c r="J60" s="747"/>
    </row>
    <row r="61" spans="1:10" ht="15">
      <c r="A61" s="749">
        <v>8.0600000000000005</v>
      </c>
      <c r="B61" s="740" t="s">
        <v>546</v>
      </c>
      <c r="C61" s="747">
        <f>C50+C41</f>
        <v>-274035817.81860042</v>
      </c>
      <c r="D61" s="747">
        <f>D50+D41</f>
        <v>-271546347.24742532</v>
      </c>
      <c r="E61" s="747">
        <f>E50+E41</f>
        <v>-269056876.67625028</v>
      </c>
      <c r="F61" s="747">
        <f>F50+F41</f>
        <v>-266567406.10507518</v>
      </c>
      <c r="G61" s="747">
        <f>G50+G41</f>
        <v>-264077935.53390002</v>
      </c>
      <c r="I61" s="747"/>
      <c r="J61" s="747"/>
    </row>
    <row r="62" spans="1:10" ht="15">
      <c r="A62" s="749">
        <v>8.0700000000000003</v>
      </c>
      <c r="B62" s="740" t="s">
        <v>811</v>
      </c>
      <c r="C62" s="747"/>
      <c r="D62" s="747"/>
      <c r="E62" s="747"/>
      <c r="F62" s="747"/>
      <c r="G62" s="747"/>
      <c r="I62" s="747"/>
      <c r="J62" s="747"/>
    </row>
    <row r="63" spans="1:10" ht="15">
      <c r="A63" s="749">
        <v>8.0800000000000001</v>
      </c>
      <c r="B63" s="740" t="s">
        <v>550</v>
      </c>
      <c r="C63" s="747"/>
      <c r="D63" s="747"/>
      <c r="E63" s="747"/>
      <c r="F63" s="747"/>
      <c r="G63" s="747"/>
      <c r="I63" s="747"/>
      <c r="J63" s="747"/>
    </row>
    <row r="64" spans="1:10" ht="15">
      <c r="A64" s="739" t="s">
        <v>820</v>
      </c>
      <c r="B64" s="737"/>
      <c r="C64" s="748"/>
      <c r="D64" s="748"/>
      <c r="E64" s="748"/>
      <c r="F64" s="748"/>
      <c r="G64" s="748"/>
      <c r="I64" s="748"/>
      <c r="J64" s="748"/>
    </row>
    <row r="65" spans="1:10" ht="15">
      <c r="A65" s="736">
        <v>9</v>
      </c>
      <c r="B65" s="740" t="s">
        <v>821</v>
      </c>
      <c r="C65" s="742">
        <f>SUM(C56:C64)</f>
        <v>-274148829.13860041</v>
      </c>
      <c r="D65" s="742">
        <f t="shared" si="6" ref="D65:F65">SUM(D56:D64)</f>
        <v>-271658652.69492531</v>
      </c>
      <c r="E65" s="742">
        <f t="shared" si="6"/>
        <v>-269168476.25125027</v>
      </c>
      <c r="F65" s="742">
        <f t="shared" si="6"/>
        <v>-266678299.80757517</v>
      </c>
      <c r="G65" s="742">
        <f>SUM(G56:G64)</f>
        <v>-264188123.36390004</v>
      </c>
      <c r="I65" s="742">
        <f>SUM(I56:I64)</f>
        <v>0</v>
      </c>
      <c r="J65" s="742">
        <f>SUM(J56:J64)</f>
        <v>0</v>
      </c>
    </row>
    <row r="66" spans="3:10" ht="15">
      <c r="C66" s="755"/>
      <c r="D66" s="755"/>
      <c r="E66" s="755"/>
      <c r="F66" s="755"/>
      <c r="G66" s="755"/>
      <c r="I66" s="755"/>
      <c r="J66" s="755"/>
    </row>
    <row r="67" spans="1:10" ht="15">
      <c r="A67" s="736">
        <v>10</v>
      </c>
      <c r="B67" s="734" t="s">
        <v>817</v>
      </c>
      <c r="C67" s="742">
        <f>C52-C65</f>
        <v>990109378.93000007</v>
      </c>
      <c r="D67" s="742">
        <f t="shared" si="7" ref="D67:F67">D52-D65</f>
        <v>996921225.9525001</v>
      </c>
      <c r="E67" s="742">
        <f t="shared" si="7"/>
        <v>1003733072.9750001</v>
      </c>
      <c r="F67" s="742">
        <f t="shared" si="7"/>
        <v>1010544919.9975002</v>
      </c>
      <c r="G67" s="742">
        <f>G52-G65</f>
        <v>1017356767.0200002</v>
      </c>
      <c r="I67" s="742">
        <f>I52-I65</f>
        <v>0</v>
      </c>
      <c r="J67" s="742">
        <f t="shared" si="8" ref="J67">J52-J65</f>
        <v>0</v>
      </c>
    </row>
    <row r="68" spans="9:10" ht="15">
      <c r="I68" s="742"/>
      <c r="J68" s="742"/>
    </row>
    <row r="69" spans="1:10" ht="15">
      <c r="A69" s="736">
        <v>11</v>
      </c>
      <c r="B69" s="734" t="s">
        <v>812</v>
      </c>
      <c r="I69" s="742"/>
      <c r="J69" s="742"/>
    </row>
    <row r="70" spans="2:10" ht="15">
      <c r="B70" s="734"/>
      <c r="I70" s="742"/>
      <c r="J70" s="742"/>
    </row>
    <row r="71" spans="1:10" ht="15">
      <c r="A71" s="738">
        <v>11.01</v>
      </c>
      <c r="B71" s="737" t="s">
        <v>895</v>
      </c>
      <c r="C71" s="747">
        <v>6997855.7783000059</v>
      </c>
      <c r="D71" s="747">
        <v>7316594.8959750049</v>
      </c>
      <c r="E71" s="747">
        <v>7635334.0136500038</v>
      </c>
      <c r="F71" s="747">
        <v>7954073.1313250028</v>
      </c>
      <c r="G71" s="747">
        <v>8272812.2490000017</v>
      </c>
      <c r="I71" s="747"/>
      <c r="J71" s="747"/>
    </row>
    <row r="72" spans="1:10" ht="15">
      <c r="A72" s="738">
        <f>A71+0.01</f>
        <v>11.02</v>
      </c>
      <c r="B72" s="737" t="s">
        <v>896</v>
      </c>
      <c r="C72" s="747">
        <v>-85325474.670399129</v>
      </c>
      <c r="D72" s="747">
        <v>-84932648.766449317</v>
      </c>
      <c r="E72" s="747">
        <v>-84539822.862499505</v>
      </c>
      <c r="F72" s="747">
        <v>-84146996.958549693</v>
      </c>
      <c r="G72" s="747">
        <v>-83754171.054599881</v>
      </c>
      <c r="I72" s="747"/>
      <c r="J72" s="747"/>
    </row>
    <row r="73" spans="1:10" ht="15">
      <c r="A73" s="738">
        <f t="shared" si="9" ref="A73:A82">A72+0.01</f>
        <v>11.029999999999999</v>
      </c>
      <c r="B73" s="737" t="s">
        <v>903</v>
      </c>
      <c r="C73" s="747">
        <v>543571.81259208266</v>
      </c>
      <c r="D73" s="747">
        <v>407678.85944406199</v>
      </c>
      <c r="E73" s="747">
        <v>271785.90629604133</v>
      </c>
      <c r="F73" s="747">
        <v>135892.95314802064</v>
      </c>
      <c r="G73" s="747">
        <v>0</v>
      </c>
      <c r="I73" s="747"/>
      <c r="J73" s="747"/>
    </row>
    <row r="74" spans="1:10" ht="15">
      <c r="A74" s="738">
        <f t="shared" si="9"/>
        <v>11.039999999999999</v>
      </c>
      <c r="B74" s="737" t="s">
        <v>874</v>
      </c>
      <c r="C74" s="747">
        <v>5752.6099999999997</v>
      </c>
      <c r="D74" s="747">
        <v>5752.6099999999997</v>
      </c>
      <c r="E74" s="747">
        <v>5752.6099999999997</v>
      </c>
      <c r="F74" s="747">
        <v>5752.6099999999997</v>
      </c>
      <c r="G74" s="747">
        <v>5752.6099999999997</v>
      </c>
      <c r="I74" s="747"/>
      <c r="J74" s="747"/>
    </row>
    <row r="75" spans="1:10" ht="15">
      <c r="A75" s="738">
        <f t="shared" si="9"/>
        <v>11.049999999999999</v>
      </c>
      <c r="B75" s="737" t="s">
        <v>904</v>
      </c>
      <c r="C75" s="747"/>
      <c r="D75" s="747"/>
      <c r="E75" s="747"/>
      <c r="F75" s="747"/>
      <c r="G75" s="747"/>
      <c r="I75" s="747">
        <v>8435811.5399810001</v>
      </c>
      <c r="J75" s="747">
        <v>7962371.8451700825</v>
      </c>
    </row>
    <row r="76" spans="1:10" ht="15">
      <c r="A76" s="738">
        <f t="shared" si="9"/>
        <v>11.059999999999999</v>
      </c>
      <c r="B76" s="737" t="s">
        <v>905</v>
      </c>
      <c r="C76" s="747"/>
      <c r="D76" s="747"/>
      <c r="E76" s="747"/>
      <c r="F76" s="747"/>
      <c r="G76" s="747"/>
      <c r="I76" s="747">
        <v>143.11000000000001</v>
      </c>
      <c r="J76" s="747">
        <v>143.11000000000001</v>
      </c>
    </row>
    <row r="77" spans="1:10" ht="15">
      <c r="A77" s="738">
        <f t="shared" si="9"/>
        <v>11.069999999999999</v>
      </c>
      <c r="B77" s="737" t="s">
        <v>906</v>
      </c>
      <c r="C77" s="747"/>
      <c r="D77" s="747"/>
      <c r="E77" s="747"/>
      <c r="F77" s="747"/>
      <c r="G77" s="747"/>
      <c r="I77" s="747">
        <v>222258.49820557894</v>
      </c>
      <c r="J77" s="747">
        <v>221994.65838058511</v>
      </c>
    </row>
    <row r="78" spans="1:10" ht="15">
      <c r="A78" s="738">
        <f t="shared" si="9"/>
        <v>11.079999999999998</v>
      </c>
      <c r="B78" s="737" t="s">
        <v>872</v>
      </c>
      <c r="C78" s="747"/>
      <c r="D78" s="747"/>
      <c r="E78" s="747"/>
      <c r="F78" s="747"/>
      <c r="G78" s="747"/>
      <c r="I78" s="747">
        <v>7570963.3300355785</v>
      </c>
      <c r="J78" s="747">
        <v>6616728.9699278725</v>
      </c>
    </row>
    <row r="79" spans="1:10" ht="15">
      <c r="A79" s="738">
        <f t="shared" si="9"/>
        <v>11.089999999999998</v>
      </c>
      <c r="B79" s="737" t="s">
        <v>873</v>
      </c>
      <c r="C79" s="747"/>
      <c r="D79" s="747"/>
      <c r="E79" s="747"/>
      <c r="F79" s="747"/>
      <c r="G79" s="747"/>
      <c r="I79" s="747">
        <v>70921.835113757566</v>
      </c>
      <c r="J79" s="747">
        <v>61982.911478493188</v>
      </c>
    </row>
    <row r="80" spans="1:10" ht="15">
      <c r="A80" s="738">
        <f t="shared" si="9"/>
        <v>11.099999999999998</v>
      </c>
      <c r="B80" s="737" t="s">
        <v>907</v>
      </c>
      <c r="C80" s="747"/>
      <c r="D80" s="747"/>
      <c r="E80" s="747"/>
      <c r="F80" s="747"/>
      <c r="G80" s="747"/>
      <c r="I80" s="747">
        <v>1473648.1206848111</v>
      </c>
      <c r="J80" s="747">
        <v>1977816.5718683901</v>
      </c>
    </row>
    <row r="81" spans="1:10" ht="15">
      <c r="A81" s="738">
        <f t="shared" si="9"/>
        <v>11.109999999999998</v>
      </c>
      <c r="B81" s="737" t="s">
        <v>908</v>
      </c>
      <c r="C81" s="747"/>
      <c r="D81" s="747"/>
      <c r="E81" s="747"/>
      <c r="F81" s="747"/>
      <c r="G81" s="747"/>
      <c r="I81" s="747">
        <v>14405.280000000001</v>
      </c>
      <c r="J81" s="747">
        <v>14405.280000000001</v>
      </c>
    </row>
    <row r="82" spans="1:10" ht="15">
      <c r="A82" s="738">
        <f t="shared" si="9"/>
        <v>11.119999999999997</v>
      </c>
      <c r="B82" s="737" t="s">
        <v>909</v>
      </c>
      <c r="C82" s="747"/>
      <c r="D82" s="747"/>
      <c r="E82" s="747"/>
      <c r="F82" s="747"/>
      <c r="G82" s="747"/>
      <c r="I82" s="747">
        <v>141084.72315074172</v>
      </c>
      <c r="J82" s="747">
        <v>8356.7392858209278</v>
      </c>
    </row>
    <row r="83" spans="1:10" ht="15">
      <c r="A83" s="738" t="s">
        <v>949</v>
      </c>
      <c r="B83" s="737"/>
      <c r="C83" s="748"/>
      <c r="D83" s="748"/>
      <c r="E83" s="748"/>
      <c r="F83" s="748"/>
      <c r="G83" s="748"/>
      <c r="I83" s="748"/>
      <c r="J83" s="748"/>
    </row>
    <row r="84" spans="1:10" ht="15">
      <c r="A84" s="736">
        <v>12</v>
      </c>
      <c r="B84" s="740" t="s">
        <v>814</v>
      </c>
      <c r="C84" s="742">
        <f>SUM(C71:C83)</f>
        <v>-77778294.469507039</v>
      </c>
      <c r="D84" s="742">
        <f>SUM(D71:D83)</f>
        <v>-77202622.401030242</v>
      </c>
      <c r="E84" s="742">
        <f>SUM(E71:E83)</f>
        <v>-76626950.332553461</v>
      </c>
      <c r="F84" s="742">
        <f>SUM(F71:F83)</f>
        <v>-76051278.264076665</v>
      </c>
      <c r="G84" s="742">
        <f>SUM(G71:G83)</f>
        <v>-75475606.195599884</v>
      </c>
      <c r="I84" s="742">
        <f>SUM(I71:I83)</f>
        <v>17929236.43717147</v>
      </c>
      <c r="J84" s="742">
        <f>SUM(J71:J83)</f>
        <v>16863800.086111244</v>
      </c>
    </row>
    <row r="85" spans="9:10" ht="15">
      <c r="I85" s="742"/>
      <c r="J85" s="742"/>
    </row>
    <row r="86" spans="1:10" ht="15">
      <c r="A86" s="736">
        <v>13</v>
      </c>
      <c r="B86" s="734" t="s">
        <v>813</v>
      </c>
      <c r="I86" s="742"/>
      <c r="J86" s="742"/>
    </row>
    <row r="87" spans="2:10" ht="15">
      <c r="B87" s="734"/>
      <c r="I87" s="742"/>
      <c r="J87" s="742"/>
    </row>
    <row r="88" spans="1:10" ht="15">
      <c r="A88" s="749">
        <v>13.01</v>
      </c>
      <c r="B88" s="740" t="s">
        <v>540</v>
      </c>
      <c r="C88" s="747"/>
      <c r="D88" s="747"/>
      <c r="E88" s="747"/>
      <c r="F88" s="747"/>
      <c r="G88" s="747"/>
      <c r="I88" s="747"/>
      <c r="J88" s="747"/>
    </row>
    <row r="89" spans="1:10" ht="15">
      <c r="A89" s="749">
        <v>13.02</v>
      </c>
      <c r="B89" s="740" t="s">
        <v>803</v>
      </c>
      <c r="C89" s="747"/>
      <c r="D89" s="747"/>
      <c r="E89" s="747"/>
      <c r="F89" s="747"/>
      <c r="G89" s="747"/>
      <c r="I89" s="747"/>
      <c r="J89" s="747"/>
    </row>
    <row r="90" spans="1:10" ht="15">
      <c r="A90" s="749">
        <v>13.029999999999999</v>
      </c>
      <c r="B90" s="740" t="s">
        <v>545</v>
      </c>
      <c r="C90" s="747"/>
      <c r="D90" s="747"/>
      <c r="E90" s="747"/>
      <c r="F90" s="747"/>
      <c r="G90" s="747"/>
      <c r="I90" s="747"/>
      <c r="J90" s="747"/>
    </row>
    <row r="91" spans="1:10" ht="15">
      <c r="A91" s="749">
        <v>13.039999999999999</v>
      </c>
      <c r="B91" s="740" t="s">
        <v>804</v>
      </c>
      <c r="C91" s="747"/>
      <c r="D91" s="747"/>
      <c r="E91" s="747"/>
      <c r="F91" s="747"/>
      <c r="G91" s="747"/>
      <c r="I91" s="747"/>
      <c r="J91" s="747"/>
    </row>
    <row r="92" spans="1:10" ht="15">
      <c r="A92" s="749">
        <v>13.050000000000001</v>
      </c>
      <c r="B92" s="740" t="s">
        <v>546</v>
      </c>
      <c r="C92" s="747">
        <f>C72+C71</f>
        <v>-78327618.892099127</v>
      </c>
      <c r="D92" s="747">
        <f>D72+D71</f>
        <v>-77616053.870474309</v>
      </c>
      <c r="E92" s="747">
        <f>E72+E71</f>
        <v>-76904488.848849505</v>
      </c>
      <c r="F92" s="747">
        <f>F72+F71</f>
        <v>-76192923.827224687</v>
      </c>
      <c r="G92" s="747">
        <f>G72+G71</f>
        <v>-75481358.805599883</v>
      </c>
      <c r="I92" s="747">
        <f>I75</f>
        <v>8435811.5399810001</v>
      </c>
      <c r="J92" s="747">
        <f>J75</f>
        <v>7962371.8451700825</v>
      </c>
    </row>
    <row r="93" spans="1:10" ht="15">
      <c r="A93" s="739" t="s">
        <v>822</v>
      </c>
      <c r="B93" s="737"/>
      <c r="C93" s="748"/>
      <c r="D93" s="748"/>
      <c r="E93" s="748"/>
      <c r="F93" s="748"/>
      <c r="G93" s="748"/>
      <c r="I93" s="748"/>
      <c r="J93" s="748"/>
    </row>
    <row r="94" spans="1:10" ht="15">
      <c r="A94" s="736">
        <v>14</v>
      </c>
      <c r="B94" s="740" t="s">
        <v>823</v>
      </c>
      <c r="C94" s="742">
        <f>SUM(C88:C93)</f>
        <v>-78327618.892099127</v>
      </c>
      <c r="D94" s="742">
        <f t="shared" si="10" ref="D94:F94">SUM(D88:D93)</f>
        <v>-77616053.870474309</v>
      </c>
      <c r="E94" s="742">
        <f t="shared" si="10"/>
        <v>-76904488.848849505</v>
      </c>
      <c r="F94" s="742">
        <f t="shared" si="10"/>
        <v>-76192923.827224687</v>
      </c>
      <c r="G94" s="742">
        <f>SUM(G88:G93)</f>
        <v>-75481358.805599883</v>
      </c>
      <c r="I94" s="742">
        <f>SUM(I88:I93)</f>
        <v>8435811.5399810001</v>
      </c>
      <c r="J94" s="742">
        <f>SUM(J88:J93)</f>
        <v>7962371.8451700825</v>
      </c>
    </row>
    <row r="95" spans="2:10" ht="15">
      <c r="B95" s="740"/>
      <c r="C95" s="755"/>
      <c r="D95" s="755"/>
      <c r="E95" s="755"/>
      <c r="F95" s="755"/>
      <c r="G95" s="755"/>
      <c r="I95" s="755"/>
      <c r="J95" s="755"/>
    </row>
    <row r="96" spans="1:10" ht="15">
      <c r="A96" s="736">
        <v>15</v>
      </c>
      <c r="B96" s="734" t="s">
        <v>818</v>
      </c>
      <c r="C96" s="742">
        <f>C84-C94</f>
        <v>549324.42259208858</v>
      </c>
      <c r="D96" s="742">
        <f t="shared" si="11" ref="D96:E96">D84-D94</f>
        <v>413431.46944406629</v>
      </c>
      <c r="E96" s="742">
        <f t="shared" si="11"/>
        <v>277538.51629604399</v>
      </c>
      <c r="F96" s="742">
        <f>F84-F94</f>
        <v>141645.5631480217</v>
      </c>
      <c r="G96" s="742">
        <f>G84-G94</f>
        <v>5752.609999999404</v>
      </c>
      <c r="I96" s="742">
        <f>I84-I94</f>
        <v>9493424.8971904702</v>
      </c>
      <c r="J96" s="742">
        <f t="shared" si="12" ref="J96">J84-J94</f>
        <v>8901428.2409411613</v>
      </c>
    </row>
    <row r="98" spans="1:1" ht="15">
      <c r="A98" s="735" t="s">
        <v>298</v>
      </c>
    </row>
    <row r="99" spans="1:10" s="760" customFormat="1" ht="29.45" customHeight="1">
      <c r="A99" s="759" t="s">
        <v>424</v>
      </c>
      <c r="B99" s="854" t="s">
        <v>836</v>
      </c>
      <c r="C99" s="854"/>
      <c r="D99" s="854"/>
      <c r="E99" s="854"/>
      <c r="F99" s="854"/>
      <c r="G99" s="854"/>
      <c r="H99" s="854"/>
      <c r="I99" s="854"/>
      <c r="J99" s="854"/>
    </row>
    <row r="100" spans="1:2" ht="15">
      <c r="A100" s="736" t="s">
        <v>425</v>
      </c>
      <c r="B100" s="733" t="s">
        <v>832</v>
      </c>
    </row>
  </sheetData>
  <mergeCells count="3">
    <mergeCell ref="C2:G2"/>
    <mergeCell ref="I2:J2"/>
    <mergeCell ref="B99:J99"/>
  </mergeCells>
  <pageMargins left="0.7" right="0.7" top="0.75" bottom="0.75" header="0.3" footer="0.3"/>
  <pageSetup orientation="portrait" scale="42"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topLeftCell="A1">
      <selection pane="topLeft" activeCell="J26" sqref="J26"/>
    </sheetView>
  </sheetViews>
  <sheetFormatPr defaultColWidth="8.88555555555556" defaultRowHeight="20.1" customHeight="1"/>
  <cols>
    <col min="1" max="1" width="2.88888888888889" style="90" customWidth="1"/>
    <col min="2" max="2" width="10.8888888888889" style="84" customWidth="1"/>
    <col min="3" max="3" width="8.88888888888889" style="84"/>
    <col min="4" max="4" width="2.88888888888889" style="84" customWidth="1"/>
    <col min="5" max="7" width="12.8888888888889" style="90" customWidth="1"/>
    <col min="8" max="11" width="12.8888888888889" style="84" customWidth="1"/>
    <col min="12" max="16384" width="8.88888888888889" style="84"/>
  </cols>
  <sheetData>
    <row r="1" spans="1:1" ht="20.1" customHeight="1">
      <c r="A1" s="93" t="str">
        <f ca="1">RIGHT(CELL("filename",D2),LEN(CELL("filename",D2))-FIND("]",CELL("filename",D2)))</f>
        <v>WP04 Other RB</v>
      </c>
    </row>
    <row r="2" spans="3:3" ht="20.1" customHeight="1">
      <c r="C2" s="192"/>
    </row>
    <row r="3" spans="5:9" ht="20.1" customHeight="1">
      <c r="E3" s="92" t="s">
        <v>380</v>
      </c>
      <c r="F3" s="92" t="s">
        <v>382</v>
      </c>
      <c r="G3" s="92" t="s">
        <v>344</v>
      </c>
      <c r="I3" s="92" t="s">
        <v>11</v>
      </c>
    </row>
    <row r="4" spans="5:7" ht="20.1" customHeight="1">
      <c r="E4" s="92" t="s">
        <v>381</v>
      </c>
      <c r="F4" s="92" t="s">
        <v>383</v>
      </c>
      <c r="G4" s="92" t="s">
        <v>384</v>
      </c>
    </row>
    <row r="5" spans="4:7" ht="20.1" customHeight="1">
      <c r="D5" s="88" t="s">
        <v>364</v>
      </c>
      <c r="E5" s="91" t="s">
        <v>385</v>
      </c>
      <c r="F5" s="91" t="s">
        <v>179</v>
      </c>
      <c r="G5" s="91" t="s">
        <v>210</v>
      </c>
    </row>
    <row r="6" spans="1:9" ht="20.1" customHeight="1">
      <c r="A6" s="94">
        <v>1</v>
      </c>
      <c r="B6" s="97" t="s">
        <v>376</v>
      </c>
      <c r="C6" s="87">
        <f>C7-1</f>
        <v>2022</v>
      </c>
      <c r="E6" s="177"/>
      <c r="F6" s="177">
        <v>677472</v>
      </c>
      <c r="G6" s="177">
        <v>4146032</v>
      </c>
      <c r="H6" s="178"/>
      <c r="I6" s="178">
        <f>SUM(E6:G6)</f>
        <v>4823504</v>
      </c>
    </row>
    <row r="7" spans="1:9" ht="20.1" customHeight="1">
      <c r="A7" s="94">
        <v>2</v>
      </c>
      <c r="B7" s="97" t="s">
        <v>376</v>
      </c>
      <c r="C7" s="87">
        <f>'WP03 ADIT'!C10</f>
        <v>2023</v>
      </c>
      <c r="E7" s="177"/>
      <c r="F7" s="177">
        <v>677472</v>
      </c>
      <c r="G7" s="177">
        <v>4146032</v>
      </c>
      <c r="H7" s="780"/>
      <c r="I7" s="178">
        <f>SUM(E7:G7)</f>
        <v>4823504</v>
      </c>
    </row>
    <row r="8" spans="5:9" ht="20.1" customHeight="1">
      <c r="E8" s="179"/>
      <c r="F8" s="179"/>
      <c r="G8" s="179"/>
      <c r="H8" s="178"/>
      <c r="I8" s="178"/>
    </row>
    <row r="9" spans="1:9" ht="20.1" customHeight="1">
      <c r="A9" s="94">
        <v>3</v>
      </c>
      <c r="B9" s="84" t="s">
        <v>375</v>
      </c>
      <c r="E9" s="179">
        <f>(E6/2)+(E7/2)</f>
        <v>0</v>
      </c>
      <c r="F9" s="179">
        <f>(F6/2)+(F7/2)</f>
        <v>677472</v>
      </c>
      <c r="G9" s="179">
        <f>(G6/2)+(G7/2)</f>
        <v>4146032</v>
      </c>
      <c r="H9" s="179"/>
      <c r="I9" s="179">
        <f>(I6/2)+(I7/2)</f>
        <v>4823504</v>
      </c>
    </row>
    <row r="11" spans="1:11" ht="20.1" customHeight="1">
      <c r="A11" s="206"/>
      <c r="D11" s="95"/>
      <c r="E11" s="855" t="s">
        <v>553</v>
      </c>
      <c r="F11" s="855"/>
      <c r="G11" s="855"/>
      <c r="H11" s="855"/>
      <c r="I11" s="855"/>
      <c r="K11" s="92" t="s">
        <v>11</v>
      </c>
    </row>
    <row r="12" spans="1:9" ht="20.1" customHeight="1">
      <c r="A12" s="206"/>
      <c r="C12" s="207" t="s">
        <v>554</v>
      </c>
      <c r="D12" s="95"/>
      <c r="E12" s="208">
        <v>228.09999999999999</v>
      </c>
      <c r="F12" s="208">
        <v>228.19999999999999</v>
      </c>
      <c r="G12" s="208">
        <v>228.30000000000001</v>
      </c>
      <c r="H12" s="208">
        <v>228.40000000000001</v>
      </c>
      <c r="I12" s="209">
        <v>242</v>
      </c>
    </row>
    <row r="13" spans="1:9" ht="20.1" customHeight="1">
      <c r="A13" s="206"/>
      <c r="D13" s="88" t="s">
        <v>364</v>
      </c>
      <c r="E13" s="91" t="s">
        <v>555</v>
      </c>
      <c r="F13" s="91" t="s">
        <v>556</v>
      </c>
      <c r="G13" s="91" t="s">
        <v>557</v>
      </c>
      <c r="H13" s="91" t="s">
        <v>558</v>
      </c>
      <c r="I13" s="91" t="s">
        <v>378</v>
      </c>
    </row>
    <row r="14" spans="1:11" ht="20.1" customHeight="1">
      <c r="A14" s="206">
        <v>4</v>
      </c>
      <c r="B14" s="97" t="s">
        <v>376</v>
      </c>
      <c r="C14" s="210">
        <f>C6</f>
        <v>2022</v>
      </c>
      <c r="E14" s="177"/>
      <c r="F14" s="177"/>
      <c r="G14" s="177"/>
      <c r="H14" s="211"/>
      <c r="I14" s="211"/>
      <c r="J14" s="178"/>
      <c r="K14" s="178">
        <f>SUM(E14:I14)</f>
        <v>0</v>
      </c>
    </row>
    <row r="15" spans="1:11" ht="20.1" customHeight="1">
      <c r="A15" s="206">
        <v>5</v>
      </c>
      <c r="B15" s="97" t="s">
        <v>376</v>
      </c>
      <c r="C15" s="210">
        <f>C14+1</f>
        <v>2023</v>
      </c>
      <c r="E15" s="177"/>
      <c r="F15" s="177"/>
      <c r="G15" s="177"/>
      <c r="H15" s="211"/>
      <c r="I15" s="211"/>
      <c r="J15" s="178"/>
      <c r="K15" s="178">
        <f>SUM(E15:I15)</f>
        <v>0</v>
      </c>
    </row>
    <row r="16" spans="1:11" ht="20.1" customHeight="1">
      <c r="A16" s="206"/>
      <c r="B16" s="97"/>
      <c r="C16" s="212"/>
      <c r="E16" s="179"/>
      <c r="F16" s="179"/>
      <c r="G16" s="179"/>
      <c r="H16" s="178"/>
      <c r="I16" s="178"/>
      <c r="J16" s="178"/>
      <c r="K16" s="178"/>
    </row>
    <row r="17" spans="1:11" ht="20.1" customHeight="1">
      <c r="A17" s="206">
        <v>6</v>
      </c>
      <c r="B17" s="84" t="s">
        <v>375</v>
      </c>
      <c r="C17" s="212"/>
      <c r="E17" s="179">
        <f>(E14/2)+(E15/2)</f>
        <v>0</v>
      </c>
      <c r="F17" s="179">
        <f>(F14/2)+(F15/2)</f>
        <v>0</v>
      </c>
      <c r="G17" s="179">
        <f>(G14/2)+(G15/2)</f>
        <v>0</v>
      </c>
      <c r="H17" s="179">
        <f>(H14/2)+(H15/2)</f>
        <v>0</v>
      </c>
      <c r="I17" s="179">
        <f>(I14/2)+(I15/2)</f>
        <v>0</v>
      </c>
      <c r="J17" s="179"/>
      <c r="K17" s="179">
        <f>(K14/2)+(K15/2)</f>
        <v>0</v>
      </c>
    </row>
    <row r="18" spans="1:1" ht="20.1" customHeight="1">
      <c r="A18" s="206"/>
    </row>
    <row r="19" spans="1:11" ht="20.1" customHeight="1">
      <c r="A19" s="206"/>
      <c r="D19" s="95"/>
      <c r="E19" s="855" t="s">
        <v>559</v>
      </c>
      <c r="F19" s="855"/>
      <c r="G19" s="855"/>
      <c r="H19" s="855"/>
      <c r="I19" s="855"/>
      <c r="K19" s="92" t="s">
        <v>11</v>
      </c>
    </row>
    <row r="20" spans="1:9" ht="20.1" customHeight="1">
      <c r="A20" s="206"/>
      <c r="C20" s="207" t="s">
        <v>554</v>
      </c>
      <c r="D20" s="95"/>
      <c r="E20" s="208">
        <v>228.09999999999999</v>
      </c>
      <c r="F20" s="208">
        <v>228.19999999999999</v>
      </c>
      <c r="G20" s="208">
        <v>228.30000000000001</v>
      </c>
      <c r="H20" s="208">
        <v>228.40000000000001</v>
      </c>
      <c r="I20" s="209">
        <v>242</v>
      </c>
    </row>
    <row r="21" spans="1:9" ht="20.1" customHeight="1">
      <c r="A21" s="206"/>
      <c r="D21" s="88" t="s">
        <v>364</v>
      </c>
      <c r="E21" s="91" t="s">
        <v>555</v>
      </c>
      <c r="F21" s="91" t="s">
        <v>556</v>
      </c>
      <c r="G21" s="91" t="s">
        <v>557</v>
      </c>
      <c r="H21" s="91" t="s">
        <v>558</v>
      </c>
      <c r="I21" s="91" t="s">
        <v>378</v>
      </c>
    </row>
    <row r="22" spans="1:11" ht="20.1" customHeight="1">
      <c r="A22" s="206">
        <v>7</v>
      </c>
      <c r="B22" s="97" t="s">
        <v>376</v>
      </c>
      <c r="C22" s="210">
        <f>C14</f>
        <v>2022</v>
      </c>
      <c r="E22" s="177"/>
      <c r="F22" s="177"/>
      <c r="G22" s="177"/>
      <c r="H22" s="211"/>
      <c r="I22" s="211"/>
      <c r="J22" s="178"/>
      <c r="K22" s="178">
        <f>SUM(E22:I22)</f>
        <v>0</v>
      </c>
    </row>
    <row r="23" spans="1:11" ht="20.1" customHeight="1">
      <c r="A23" s="206">
        <v>8</v>
      </c>
      <c r="B23" s="97" t="s">
        <v>376</v>
      </c>
      <c r="C23" s="210">
        <f>C22+1</f>
        <v>2023</v>
      </c>
      <c r="E23" s="177"/>
      <c r="F23" s="177"/>
      <c r="G23" s="177"/>
      <c r="H23" s="211"/>
      <c r="I23" s="211"/>
      <c r="J23" s="178"/>
      <c r="K23" s="178">
        <f>SUM(E23:I23)</f>
        <v>0</v>
      </c>
    </row>
    <row r="24" spans="1:11" ht="20.1" customHeight="1">
      <c r="A24" s="206"/>
      <c r="E24" s="179"/>
      <c r="F24" s="179"/>
      <c r="G24" s="179"/>
      <c r="H24" s="178"/>
      <c r="I24" s="178"/>
      <c r="J24" s="178"/>
      <c r="K24" s="178"/>
    </row>
    <row r="25" spans="1:11" ht="20.1" customHeight="1">
      <c r="A25" s="206">
        <v>9</v>
      </c>
      <c r="B25" s="84" t="s">
        <v>375</v>
      </c>
      <c r="E25" s="179">
        <f>(E22/2)+(E23/2)</f>
        <v>0</v>
      </c>
      <c r="F25" s="179">
        <f>(F22/2)+(F23/2)</f>
        <v>0</v>
      </c>
      <c r="G25" s="179">
        <f>(G22/2)+(G23/2)</f>
        <v>0</v>
      </c>
      <c r="H25" s="179">
        <f>(H22/2)+(H23/2)</f>
        <v>0</v>
      </c>
      <c r="I25" s="179">
        <f>(I22/2)+(I23/2)</f>
        <v>0</v>
      </c>
      <c r="J25" s="179"/>
      <c r="K25" s="179">
        <f>(K22/2)+(K23/2)</f>
        <v>0</v>
      </c>
    </row>
    <row r="30" spans="1:1" ht="20.1" customHeight="1">
      <c r="A30" s="84" t="s">
        <v>365</v>
      </c>
    </row>
    <row r="31" spans="1:2" ht="20.1" customHeight="1">
      <c r="A31" s="90" t="s">
        <v>364</v>
      </c>
      <c r="B31" s="84" t="s">
        <v>366</v>
      </c>
    </row>
    <row r="32" spans="1:11" s="218" customFormat="1" ht="32.1" customHeight="1">
      <c r="A32" s="217" t="s">
        <v>378</v>
      </c>
      <c r="B32" s="847" t="s">
        <v>794</v>
      </c>
      <c r="C32" s="847"/>
      <c r="D32" s="847"/>
      <c r="E32" s="847"/>
      <c r="F32" s="847"/>
      <c r="G32" s="847"/>
      <c r="H32" s="847"/>
      <c r="I32" s="847"/>
      <c r="J32" s="847"/>
      <c r="K32" s="847"/>
    </row>
    <row r="33" spans="2:2" ht="20.1" customHeight="1">
      <c r="B33" s="200"/>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mergeCells count="3">
    <mergeCell ref="E11:I11"/>
    <mergeCell ref="E19:I19"/>
    <mergeCell ref="B32:K32"/>
  </mergeCells>
  <pageMargins left="0.7" right="0.7" top="0.75" bottom="0.75" header="0.3" footer="0.3"/>
  <pageSetup orientation="portrait" scale="6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D26" sqref="D26"/>
    </sheetView>
  </sheetViews>
  <sheetFormatPr defaultColWidth="8.88555555555556" defaultRowHeight="20.1" customHeight="1"/>
  <cols>
    <col min="1" max="1" width="2.88888888888889" style="90" customWidth="1"/>
    <col min="2" max="2" width="40.8888888888889" style="84" customWidth="1"/>
    <col min="3" max="3" width="10.8888888888889" style="89" customWidth="1"/>
    <col min="4" max="4" width="12.8888888888889" style="100" customWidth="1"/>
    <col min="5" max="7" width="12.8888888888889" style="90" customWidth="1"/>
    <col min="8" max="16384" width="8.88888888888889" style="84"/>
  </cols>
  <sheetData>
    <row r="1" spans="1:1" ht="20.1" customHeight="1">
      <c r="A1" s="93" t="str">
        <f ca="1">RIGHT(CELL("filename",D2),LEN(CELL("filename",D2))-FIND("]",CELL("filename",D2)))</f>
        <v>WP05 Other Tax</v>
      </c>
    </row>
    <row r="2" spans="3:3" ht="20.1" customHeight="1">
      <c r="C2" s="193"/>
    </row>
    <row r="3" spans="2:9" ht="20.1" customHeight="1">
      <c r="B3" s="89"/>
      <c r="C3" s="91" t="s">
        <v>364</v>
      </c>
      <c r="D3" s="92"/>
      <c r="F3" s="92"/>
      <c r="G3" s="92"/>
      <c r="I3" s="92"/>
    </row>
    <row r="4" spans="1:7" ht="20.1" customHeight="1">
      <c r="A4" s="104">
        <v>1</v>
      </c>
      <c r="B4" s="95" t="s">
        <v>392</v>
      </c>
      <c r="C4" s="100"/>
      <c r="D4" s="99"/>
      <c r="F4" s="92"/>
      <c r="G4" s="92"/>
    </row>
    <row r="5" spans="1:7" ht="20.1" customHeight="1">
      <c r="A5" s="104">
        <v>2</v>
      </c>
      <c r="B5" s="487" t="s">
        <v>386</v>
      </c>
      <c r="C5" s="100" t="s">
        <v>77</v>
      </c>
      <c r="D5" s="177">
        <v>780272.69999999984</v>
      </c>
      <c r="F5" s="92"/>
      <c r="G5" s="92"/>
    </row>
    <row r="6" spans="1:7" ht="20.1" customHeight="1">
      <c r="A6" s="104" t="s">
        <v>345</v>
      </c>
      <c r="B6" s="487" t="s">
        <v>387</v>
      </c>
      <c r="C6" s="100" t="s">
        <v>77</v>
      </c>
      <c r="D6" s="177"/>
      <c r="F6" s="91"/>
      <c r="G6" s="91"/>
    </row>
    <row r="7" spans="1:9" ht="20.1" customHeight="1" thickBot="1">
      <c r="A7" s="104" t="s">
        <v>346</v>
      </c>
      <c r="B7" s="487" t="s">
        <v>388</v>
      </c>
      <c r="C7" s="100" t="s">
        <v>77</v>
      </c>
      <c r="D7" s="183"/>
      <c r="F7" s="98"/>
      <c r="G7" s="98"/>
      <c r="I7" s="85"/>
    </row>
    <row r="8" spans="1:9" ht="20.1" customHeight="1">
      <c r="A8" s="104"/>
      <c r="B8" s="101" t="s">
        <v>396</v>
      </c>
      <c r="C8" s="100"/>
      <c r="D8" s="184">
        <f>SUM(D5:D7)</f>
        <v>780272.69999999984</v>
      </c>
      <c r="F8" s="98"/>
      <c r="G8" s="98"/>
      <c r="I8" s="85"/>
    </row>
    <row r="9" spans="1:4" ht="20.1" customHeight="1">
      <c r="A9" s="104"/>
      <c r="B9" s="95"/>
      <c r="C9" s="100"/>
      <c r="D9" s="184"/>
    </row>
    <row r="10" spans="1:9" ht="20.1" customHeight="1">
      <c r="A10" s="104" t="s">
        <v>238</v>
      </c>
      <c r="B10" s="95" t="s">
        <v>391</v>
      </c>
      <c r="C10" s="100"/>
      <c r="D10" s="184"/>
      <c r="F10" s="96"/>
      <c r="G10" s="96"/>
      <c r="H10" s="96"/>
      <c r="I10" s="96"/>
    </row>
    <row r="11" spans="1:9" ht="20.1" customHeight="1" thickBot="1">
      <c r="A11" s="104" t="s">
        <v>240</v>
      </c>
      <c r="B11" s="487" t="s">
        <v>714</v>
      </c>
      <c r="C11" s="100" t="s">
        <v>77</v>
      </c>
      <c r="D11" s="183">
        <v>6000</v>
      </c>
      <c r="F11" s="96"/>
      <c r="G11" s="96"/>
      <c r="H11" s="96"/>
      <c r="I11" s="96"/>
    </row>
    <row r="12" spans="1:9" ht="20.1" customHeight="1">
      <c r="A12" s="104"/>
      <c r="B12" s="102" t="s">
        <v>391</v>
      </c>
      <c r="C12" s="100"/>
      <c r="D12" s="184">
        <f>SUM(D11)</f>
        <v>6000</v>
      </c>
      <c r="F12" s="96"/>
      <c r="G12" s="96"/>
      <c r="H12" s="96"/>
      <c r="I12" s="96"/>
    </row>
    <row r="13" spans="1:9" ht="20.1" customHeight="1">
      <c r="A13" s="104"/>
      <c r="B13" s="95"/>
      <c r="C13" s="100"/>
      <c r="D13" s="184"/>
      <c r="F13" s="96"/>
      <c r="G13" s="96"/>
      <c r="H13" s="96"/>
      <c r="I13" s="96"/>
    </row>
    <row r="14" spans="1:9" ht="20.1" customHeight="1">
      <c r="A14" s="104" t="s">
        <v>242</v>
      </c>
      <c r="B14" s="95" t="s">
        <v>389</v>
      </c>
      <c r="C14" s="100"/>
      <c r="D14" s="184"/>
      <c r="F14" s="96"/>
      <c r="G14" s="96"/>
      <c r="H14" s="96"/>
      <c r="I14" s="96"/>
    </row>
    <row r="15" spans="1:9" ht="20.1" customHeight="1">
      <c r="A15" s="104" t="s">
        <v>246</v>
      </c>
      <c r="B15" s="487" t="s">
        <v>505</v>
      </c>
      <c r="C15" s="100" t="s">
        <v>77</v>
      </c>
      <c r="D15" s="177">
        <v>244929111.47999999</v>
      </c>
      <c r="F15" s="96"/>
      <c r="G15" s="96"/>
      <c r="H15" s="96"/>
      <c r="I15" s="96"/>
    </row>
    <row r="16" spans="1:9" ht="20.1" customHeight="1">
      <c r="A16" s="104" t="s">
        <v>247</v>
      </c>
      <c r="B16" s="487" t="s">
        <v>506</v>
      </c>
      <c r="C16" s="100" t="s">
        <v>77</v>
      </c>
      <c r="D16" s="177">
        <v>42840</v>
      </c>
      <c r="F16" s="96"/>
      <c r="G16" s="96"/>
      <c r="H16" s="96"/>
      <c r="I16" s="96"/>
    </row>
    <row r="17" spans="1:9" ht="20.1" customHeight="1" thickBot="1">
      <c r="A17" s="104" t="s">
        <v>249</v>
      </c>
      <c r="B17" s="487" t="s">
        <v>712</v>
      </c>
      <c r="C17" s="100" t="s">
        <v>77</v>
      </c>
      <c r="D17" s="183">
        <v>6600</v>
      </c>
      <c r="F17" s="96"/>
      <c r="G17" s="96"/>
      <c r="H17" s="96"/>
      <c r="I17" s="96"/>
    </row>
    <row r="18" spans="1:9" ht="20.1" customHeight="1">
      <c r="A18" s="104"/>
      <c r="B18" s="102" t="s">
        <v>389</v>
      </c>
      <c r="C18" s="100"/>
      <c r="D18" s="184">
        <f>SUM(D15:D17)</f>
        <v>244978551.47999999</v>
      </c>
      <c r="F18" s="96"/>
      <c r="G18" s="96"/>
      <c r="H18" s="96"/>
      <c r="I18" s="96"/>
    </row>
    <row r="19" spans="1:9" ht="20.1" customHeight="1">
      <c r="A19" s="104"/>
      <c r="B19" s="95"/>
      <c r="C19" s="100"/>
      <c r="D19" s="184"/>
      <c r="F19" s="96"/>
      <c r="G19" s="96"/>
      <c r="H19" s="96"/>
      <c r="I19" s="96"/>
    </row>
    <row r="20" spans="1:9" ht="20.1" customHeight="1">
      <c r="A20" s="104" t="s">
        <v>251</v>
      </c>
      <c r="B20" s="95" t="s">
        <v>390</v>
      </c>
      <c r="C20" s="84"/>
      <c r="D20" s="184"/>
      <c r="F20" s="96"/>
      <c r="G20" s="96"/>
      <c r="H20" s="96"/>
      <c r="I20" s="96"/>
    </row>
    <row r="21" spans="1:9" ht="20.1" customHeight="1" thickBot="1">
      <c r="A21" s="104" t="s">
        <v>253</v>
      </c>
      <c r="B21" s="487" t="s">
        <v>390</v>
      </c>
      <c r="C21" s="100" t="s">
        <v>77</v>
      </c>
      <c r="D21" s="183">
        <v>239392.60000000001</v>
      </c>
      <c r="F21" s="96"/>
      <c r="G21" s="96"/>
      <c r="H21" s="96"/>
      <c r="I21" s="96"/>
    </row>
    <row r="22" spans="1:9" ht="20.1" customHeight="1">
      <c r="A22" s="104"/>
      <c r="B22" s="102" t="s">
        <v>390</v>
      </c>
      <c r="C22" s="84"/>
      <c r="D22" s="178">
        <f>SUM(D21:D21)</f>
        <v>239392.60000000001</v>
      </c>
      <c r="F22" s="96"/>
      <c r="G22" s="96"/>
      <c r="H22" s="96"/>
      <c r="I22" s="96"/>
    </row>
    <row r="23" spans="1:9" ht="20.1" customHeight="1">
      <c r="A23" s="104"/>
      <c r="B23" s="95"/>
      <c r="C23" s="100"/>
      <c r="D23" s="184"/>
      <c r="F23" s="96"/>
      <c r="G23" s="96"/>
      <c r="H23" s="96"/>
      <c r="I23" s="96"/>
    </row>
    <row r="24" spans="1:9" ht="20.1" customHeight="1">
      <c r="A24" s="104" t="s">
        <v>347</v>
      </c>
      <c r="B24" s="95" t="s">
        <v>393</v>
      </c>
      <c r="C24" s="100"/>
      <c r="D24" s="184"/>
      <c r="F24" s="96"/>
      <c r="G24" s="96"/>
      <c r="H24" s="96"/>
      <c r="I24" s="96"/>
    </row>
    <row r="25" spans="1:9" ht="20.1" customHeight="1">
      <c r="A25" s="104" t="s">
        <v>348</v>
      </c>
      <c r="B25" s="488" t="s">
        <v>394</v>
      </c>
      <c r="C25" s="100" t="s">
        <v>77</v>
      </c>
      <c r="D25" s="177">
        <v>0</v>
      </c>
      <c r="F25" s="96"/>
      <c r="G25" s="96"/>
      <c r="H25" s="96"/>
      <c r="I25" s="96"/>
    </row>
    <row r="26" spans="1:9" ht="20.1" customHeight="1">
      <c r="A26" s="104" t="s">
        <v>349</v>
      </c>
      <c r="B26" s="488" t="s">
        <v>395</v>
      </c>
      <c r="C26" s="100" t="s">
        <v>77</v>
      </c>
      <c r="D26" s="177">
        <v>13430.969999999999</v>
      </c>
      <c r="F26" s="96"/>
      <c r="G26" s="96"/>
      <c r="H26" s="96"/>
      <c r="I26" s="96"/>
    </row>
    <row r="27" spans="1:4" ht="20.1" customHeight="1" thickBot="1">
      <c r="A27" s="104" t="s">
        <v>350</v>
      </c>
      <c r="B27" s="488" t="s">
        <v>713</v>
      </c>
      <c r="C27" s="100" t="s">
        <v>77</v>
      </c>
      <c r="D27" s="183"/>
    </row>
    <row r="28" spans="1:4" ht="20.1" customHeight="1">
      <c r="A28" s="104"/>
      <c r="B28" s="102" t="s">
        <v>393</v>
      </c>
      <c r="C28" s="100"/>
      <c r="D28" s="184">
        <f>SUM(D25:D27)</f>
        <v>13430.969999999999</v>
      </c>
    </row>
    <row r="29" spans="1:4" ht="20.1" customHeight="1">
      <c r="A29" s="104"/>
      <c r="B29" s="89"/>
      <c r="C29" s="100"/>
      <c r="D29" s="184"/>
    </row>
    <row r="30" spans="1:4" ht="20.1" customHeight="1">
      <c r="A30" s="104" t="s">
        <v>351</v>
      </c>
      <c r="B30" s="95" t="s">
        <v>397</v>
      </c>
      <c r="C30" s="100"/>
      <c r="D30" s="177">
        <v>0</v>
      </c>
    </row>
    <row r="31" spans="5:5" ht="20.1" customHeight="1">
      <c r="E31" s="98"/>
    </row>
    <row r="32" spans="5:5" ht="20.1" customHeight="1">
      <c r="E32" s="98"/>
    </row>
    <row r="33" spans="5:5" ht="20.1" customHeight="1">
      <c r="E33" s="98"/>
    </row>
    <row r="34" spans="5:5" ht="20.1" customHeight="1">
      <c r="E34" s="98"/>
    </row>
    <row r="35" spans="5:5" ht="20.1" customHeight="1">
      <c r="E35" s="98"/>
    </row>
    <row r="36" spans="1:2" ht="20.1" customHeight="1">
      <c r="A36" s="84" t="s">
        <v>365</v>
      </c>
      <c r="B36" s="89"/>
    </row>
    <row r="37" spans="1:9" s="100" customFormat="1" ht="20.1" customHeight="1">
      <c r="A37" s="90" t="s">
        <v>364</v>
      </c>
      <c r="B37" s="84" t="s">
        <v>366</v>
      </c>
      <c r="E37" s="90"/>
      <c r="F37" s="90"/>
      <c r="G37" s="90"/>
      <c r="H37" s="84"/>
      <c r="I37" s="84"/>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J18"/>
  <sheetViews>
    <sheetView view="pageBreakPreview" zoomScale="75" zoomScaleNormal="75" zoomScaleSheetLayoutView="75" workbookViewId="0" topLeftCell="A1">
      <selection pane="topLeft" activeCell="A3" sqref="A3"/>
    </sheetView>
  </sheetViews>
  <sheetFormatPr defaultColWidth="7.10555555555556" defaultRowHeight="12.75"/>
  <cols>
    <col min="1" max="1" width="47.8888888888889" style="19" customWidth="1"/>
    <col min="2" max="2" width="7.11111111111111" style="19" customWidth="1"/>
    <col min="3" max="3" width="2.55555555555556" style="19" customWidth="1"/>
    <col min="4" max="4" width="10.8888888888889" style="19" bestFit="1" customWidth="1"/>
    <col min="5" max="8" width="7.11111111111111" style="19" customWidth="1"/>
    <col min="9" max="9" width="13.4444444444444" style="19" customWidth="1"/>
    <col min="10" max="10" width="47.8888888888889" style="19" customWidth="1"/>
    <col min="11" max="16384" width="7.11111111111111" style="19"/>
  </cols>
  <sheetData>
    <row r="1" spans="4:10" ht="16.5" customHeight="1">
      <c r="D1" s="195"/>
      <c r="G1" s="3"/>
      <c r="H1" s="1"/>
      <c r="J1" s="4" t="s">
        <v>307</v>
      </c>
    </row>
    <row r="2" spans="7:10" ht="16.5" customHeight="1">
      <c r="G2" s="3"/>
      <c r="H2" s="3"/>
      <c r="J2" s="4" t="s">
        <v>276</v>
      </c>
    </row>
    <row r="3" spans="7:10" ht="16.5" customHeight="1">
      <c r="G3" s="2"/>
      <c r="H3" s="6"/>
      <c r="J3" s="7" t="str">
        <f>'Attachment H-21-A ATSI '!K4</f>
        <v>For the 12 months ended 12/31/2023</v>
      </c>
    </row>
    <row r="4" spans="7:9" ht="15.75">
      <c r="G4" s="2"/>
      <c r="H4" s="6"/>
      <c r="I4" s="7"/>
    </row>
    <row r="5" spans="7:9" ht="15.75">
      <c r="G5" s="2"/>
      <c r="H5" s="6"/>
      <c r="I5" s="7"/>
    </row>
    <row r="6" spans="2:9" ht="15.75" customHeight="1">
      <c r="B6" s="826" t="s">
        <v>277</v>
      </c>
      <c r="C6" s="826"/>
      <c r="D6" s="826"/>
      <c r="E6" s="826"/>
      <c r="F6" s="826"/>
      <c r="G6" s="826"/>
      <c r="H6" s="826"/>
      <c r="I6" s="826"/>
    </row>
    <row r="7" spans="2:9" ht="15.75">
      <c r="B7" s="18"/>
      <c r="C7" s="18"/>
      <c r="D7" s="21"/>
      <c r="E7" s="21"/>
      <c r="F7" s="20"/>
      <c r="G7" s="20" t="s">
        <v>3</v>
      </c>
      <c r="H7" s="20"/>
      <c r="I7" s="20"/>
    </row>
    <row r="8" spans="2:9" ht="15.75">
      <c r="B8" s="18"/>
      <c r="C8" s="22">
        <v>1</v>
      </c>
      <c r="D8" s="30">
        <f>'Attachment H-21-A ATSI '!I216</f>
        <v>7033654</v>
      </c>
      <c r="E8" s="22" t="s">
        <v>312</v>
      </c>
      <c r="F8" s="22"/>
      <c r="G8" s="31"/>
      <c r="H8" s="23"/>
      <c r="I8" s="23"/>
    </row>
    <row r="9" spans="1:9" ht="15.75">
      <c r="A9" s="808"/>
      <c r="B9" s="809"/>
      <c r="C9" s="22">
        <v>2</v>
      </c>
      <c r="D9" s="198">
        <v>120416.22</v>
      </c>
      <c r="E9" s="32" t="s">
        <v>228</v>
      </c>
      <c r="F9" s="33"/>
      <c r="G9" s="33"/>
      <c r="H9" s="23"/>
      <c r="I9" s="23"/>
    </row>
    <row r="10" spans="2:9" ht="15.75">
      <c r="B10" s="18"/>
      <c r="C10" s="22">
        <v>3</v>
      </c>
      <c r="D10" s="34">
        <f>D8-D9</f>
        <v>6913237.7800000003</v>
      </c>
      <c r="E10" s="23" t="s">
        <v>229</v>
      </c>
      <c r="F10" s="22"/>
      <c r="G10" s="31"/>
      <c r="H10" s="23"/>
      <c r="I10" s="23"/>
    </row>
    <row r="11" spans="2:9" ht="7.5" customHeight="1">
      <c r="B11" s="18"/>
      <c r="C11" s="22"/>
      <c r="D11" s="22"/>
      <c r="E11" s="23"/>
      <c r="F11" s="23"/>
      <c r="G11" s="23"/>
      <c r="H11" s="23"/>
      <c r="I11" s="23"/>
    </row>
    <row r="12" spans="2:9" ht="15.75">
      <c r="B12" s="18"/>
      <c r="C12" s="22">
        <v>4</v>
      </c>
      <c r="D12" s="775">
        <v>67002890.869999997</v>
      </c>
      <c r="E12" s="23" t="s">
        <v>230</v>
      </c>
      <c r="F12" s="23"/>
      <c r="G12" s="23"/>
      <c r="H12" s="23"/>
      <c r="I12" s="23"/>
    </row>
    <row r="13" spans="2:9" ht="15.75">
      <c r="B13" s="35"/>
      <c r="C13" s="29">
        <v>5</v>
      </c>
      <c r="D13" s="36">
        <f>D10/D12</f>
        <v>0.10317820157063322</v>
      </c>
      <c r="E13" s="23" t="s">
        <v>301</v>
      </c>
      <c r="F13" s="33"/>
      <c r="G13" s="33"/>
      <c r="H13" s="33"/>
      <c r="I13" s="33"/>
    </row>
    <row r="14" spans="2:9" ht="15.75">
      <c r="B14" s="35"/>
      <c r="C14" s="33"/>
      <c r="D14" s="33"/>
      <c r="E14" s="33"/>
      <c r="F14" s="33"/>
      <c r="G14" s="33"/>
      <c r="H14" s="33"/>
      <c r="I14" s="33"/>
    </row>
    <row r="15" spans="2:9" ht="15.75">
      <c r="B15" s="39" t="s">
        <v>231</v>
      </c>
      <c r="D15" s="35"/>
      <c r="E15" s="35"/>
      <c r="F15" s="35"/>
      <c r="G15" s="35"/>
      <c r="H15" s="35"/>
      <c r="I15" s="35"/>
    </row>
    <row r="16" spans="2:9" ht="45.75" customHeight="1">
      <c r="B16" s="80" t="s">
        <v>141</v>
      </c>
      <c r="C16" s="824" t="s">
        <v>328</v>
      </c>
      <c r="D16" s="825"/>
      <c r="E16" s="825"/>
      <c r="F16" s="825"/>
      <c r="G16" s="825"/>
      <c r="H16" s="825"/>
      <c r="I16" s="825"/>
    </row>
    <row r="17" spans="2:9" ht="12" customHeight="1">
      <c r="B17" s="80"/>
      <c r="C17" s="37"/>
      <c r="D17" s="38"/>
      <c r="E17" s="38"/>
      <c r="F17" s="38"/>
      <c r="G17" s="38"/>
      <c r="H17" s="38"/>
      <c r="I17" s="38"/>
    </row>
    <row r="18" spans="2:9" ht="49.5" customHeight="1">
      <c r="B18" s="80" t="s">
        <v>142</v>
      </c>
      <c r="C18" s="824" t="s">
        <v>300</v>
      </c>
      <c r="D18" s="824"/>
      <c r="E18" s="824"/>
      <c r="F18" s="824"/>
      <c r="G18" s="824"/>
      <c r="H18" s="824"/>
      <c r="I18" s="824"/>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E6" sqref="E6"/>
    </sheetView>
  </sheetViews>
  <sheetFormatPr defaultColWidth="8.88555555555556" defaultRowHeight="20.1" customHeight="1"/>
  <cols>
    <col min="1" max="1" width="2.88888888888889" style="90" customWidth="1"/>
    <col min="2" max="2" width="10.8888888888889" style="84" customWidth="1"/>
    <col min="3" max="3" width="8.88888888888889" style="84"/>
    <col min="4" max="4" width="2.88888888888889" style="84" customWidth="1"/>
    <col min="5" max="9" width="12.8888888888889" style="90" customWidth="1"/>
    <col min="10" max="11" width="8.88888888888889" style="84"/>
    <col min="12" max="13" width="13.5555555555556" style="84" bestFit="1" customWidth="1"/>
    <col min="14" max="16384" width="8.88888888888889" style="84"/>
  </cols>
  <sheetData>
    <row r="1" spans="1:1" ht="20.1" customHeight="1">
      <c r="A1" s="93" t="str">
        <f ca="1">RIGHT(CELL("filename",D2),LEN(CELL("filename",D2))-FIND("]",CELL("filename",D2)))</f>
        <v>WP06 Cap Structure</v>
      </c>
    </row>
    <row r="2" spans="3:9" ht="20.1" customHeight="1">
      <c r="C2" s="192"/>
      <c r="E2" s="103" t="s">
        <v>27</v>
      </c>
      <c r="F2" s="103" t="s">
        <v>28</v>
      </c>
      <c r="G2" s="103" t="s">
        <v>29</v>
      </c>
      <c r="H2" s="103" t="s">
        <v>30</v>
      </c>
      <c r="I2" s="103" t="s">
        <v>31</v>
      </c>
    </row>
    <row r="3" spans="5:9" ht="20.1" customHeight="1">
      <c r="E3" s="92" t="s">
        <v>398</v>
      </c>
      <c r="F3" s="92" t="s">
        <v>400</v>
      </c>
      <c r="G3" s="92" t="s">
        <v>401</v>
      </c>
      <c r="H3" s="92" t="s">
        <v>122</v>
      </c>
      <c r="I3" s="92" t="s">
        <v>402</v>
      </c>
    </row>
    <row r="4" spans="5:9" ht="20.1" customHeight="1">
      <c r="E4" s="92" t="s">
        <v>399</v>
      </c>
      <c r="F4" s="92"/>
      <c r="G4" s="92"/>
      <c r="H4" s="92"/>
      <c r="I4" s="92"/>
    </row>
    <row r="5" spans="4:9" ht="20.1" customHeight="1">
      <c r="D5" s="88" t="s">
        <v>364</v>
      </c>
      <c r="E5" s="91" t="s">
        <v>403</v>
      </c>
      <c r="F5" s="91" t="s">
        <v>404</v>
      </c>
      <c r="G5" s="91" t="s">
        <v>405</v>
      </c>
      <c r="H5" s="91" t="s">
        <v>593</v>
      </c>
      <c r="I5" s="94" t="s">
        <v>406</v>
      </c>
    </row>
    <row r="6" spans="1:9" ht="20.1" customHeight="1">
      <c r="A6" s="94">
        <v>1</v>
      </c>
      <c r="B6" s="84" t="s">
        <v>333</v>
      </c>
      <c r="C6" s="210">
        <f>'WP01 Plant'!C6</f>
        <v>2022</v>
      </c>
      <c r="D6" s="88"/>
      <c r="E6" s="177">
        <v>2213852934</v>
      </c>
      <c r="F6" s="177"/>
      <c r="G6" s="177"/>
      <c r="H6" s="184">
        <f t="shared" si="0" ref="H6:H18">E6-F6-G6</f>
        <v>2213852934</v>
      </c>
      <c r="I6" s="177">
        <v>1500000000</v>
      </c>
    </row>
    <row r="7" spans="1:9" ht="20.1" customHeight="1">
      <c r="A7" s="94">
        <v>2</v>
      </c>
      <c r="B7" s="84" t="s">
        <v>334</v>
      </c>
      <c r="C7" s="210">
        <f>C6+1</f>
        <v>2023</v>
      </c>
      <c r="E7" s="177">
        <v>2234878147</v>
      </c>
      <c r="F7" s="177"/>
      <c r="G7" s="177"/>
      <c r="H7" s="184">
        <f t="shared" si="0"/>
        <v>2234878147</v>
      </c>
      <c r="I7" s="177">
        <v>1500000000</v>
      </c>
    </row>
    <row r="8" spans="1:9" ht="20.1" customHeight="1">
      <c r="A8" s="94">
        <v>3</v>
      </c>
      <c r="B8" s="84" t="s">
        <v>335</v>
      </c>
      <c r="C8" s="210">
        <f>C7</f>
        <v>2023</v>
      </c>
      <c r="E8" s="177">
        <v>2255807294</v>
      </c>
      <c r="F8" s="177"/>
      <c r="G8" s="177"/>
      <c r="H8" s="184">
        <f t="shared" si="0"/>
        <v>2255807294</v>
      </c>
      <c r="I8" s="177">
        <v>1500000000</v>
      </c>
    </row>
    <row r="9" spans="1:9" ht="20.1" customHeight="1">
      <c r="A9" s="94">
        <v>4</v>
      </c>
      <c r="B9" s="84" t="s">
        <v>336</v>
      </c>
      <c r="C9" s="87">
        <f t="shared" si="1" ref="C9:C18">C8</f>
        <v>2023</v>
      </c>
      <c r="E9" s="177">
        <v>2276901732</v>
      </c>
      <c r="F9" s="177"/>
      <c r="G9" s="177"/>
      <c r="H9" s="184">
        <f t="shared" si="0"/>
        <v>2276901732</v>
      </c>
      <c r="I9" s="177">
        <v>1500000000</v>
      </c>
    </row>
    <row r="10" spans="1:9" ht="20.1" customHeight="1">
      <c r="A10" s="94">
        <v>5</v>
      </c>
      <c r="B10" s="84" t="s">
        <v>337</v>
      </c>
      <c r="C10" s="87">
        <f t="shared" si="1"/>
        <v>2023</v>
      </c>
      <c r="E10" s="177">
        <v>2298433392</v>
      </c>
      <c r="F10" s="177"/>
      <c r="G10" s="177"/>
      <c r="H10" s="184">
        <f t="shared" si="0"/>
        <v>2298433392</v>
      </c>
      <c r="I10" s="177">
        <v>1600000000</v>
      </c>
    </row>
    <row r="11" spans="1:9" ht="20.1" customHeight="1">
      <c r="A11" s="94">
        <v>6</v>
      </c>
      <c r="B11" s="84" t="s">
        <v>338</v>
      </c>
      <c r="C11" s="87">
        <f t="shared" si="1"/>
        <v>2023</v>
      </c>
      <c r="E11" s="177">
        <v>2320841920</v>
      </c>
      <c r="F11" s="177"/>
      <c r="G11" s="177"/>
      <c r="H11" s="184">
        <f t="shared" si="0"/>
        <v>2320841920</v>
      </c>
      <c r="I11" s="177">
        <v>1600000000</v>
      </c>
    </row>
    <row r="12" spans="1:9" ht="20.1" customHeight="1">
      <c r="A12" s="94">
        <v>7</v>
      </c>
      <c r="B12" s="84" t="s">
        <v>354</v>
      </c>
      <c r="C12" s="87">
        <f t="shared" si="1"/>
        <v>2023</v>
      </c>
      <c r="E12" s="177">
        <v>2342653806</v>
      </c>
      <c r="F12" s="177"/>
      <c r="G12" s="177"/>
      <c r="H12" s="184">
        <f t="shared" si="0"/>
        <v>2342653806</v>
      </c>
      <c r="I12" s="177">
        <v>1600000000</v>
      </c>
    </row>
    <row r="13" spans="1:9" ht="20.1" customHeight="1">
      <c r="A13" s="94">
        <v>8</v>
      </c>
      <c r="B13" s="84" t="s">
        <v>339</v>
      </c>
      <c r="C13" s="87">
        <f t="shared" si="1"/>
        <v>2023</v>
      </c>
      <c r="E13" s="177">
        <v>2364278247</v>
      </c>
      <c r="F13" s="177"/>
      <c r="G13" s="177"/>
      <c r="H13" s="184">
        <f t="shared" si="0"/>
        <v>2364278247</v>
      </c>
      <c r="I13" s="177">
        <v>1600000000</v>
      </c>
    </row>
    <row r="14" spans="1:9" ht="20.1" customHeight="1">
      <c r="A14" s="94">
        <v>9</v>
      </c>
      <c r="B14" s="84" t="s">
        <v>340</v>
      </c>
      <c r="C14" s="87">
        <f t="shared" si="1"/>
        <v>2023</v>
      </c>
      <c r="E14" s="177">
        <v>2385861372</v>
      </c>
      <c r="F14" s="177"/>
      <c r="G14" s="177"/>
      <c r="H14" s="184">
        <f t="shared" si="0"/>
        <v>2385861372</v>
      </c>
      <c r="I14" s="177">
        <v>1600000000</v>
      </c>
    </row>
    <row r="15" spans="1:9" ht="20.1" customHeight="1">
      <c r="A15" s="94">
        <v>10</v>
      </c>
      <c r="B15" s="84" t="s">
        <v>341</v>
      </c>
      <c r="C15" s="87">
        <f t="shared" si="1"/>
        <v>2023</v>
      </c>
      <c r="E15" s="177">
        <v>2407410057</v>
      </c>
      <c r="F15" s="177"/>
      <c r="G15" s="177"/>
      <c r="H15" s="184">
        <f t="shared" si="0"/>
        <v>2407410057</v>
      </c>
      <c r="I15" s="177">
        <v>1600000000</v>
      </c>
    </row>
    <row r="16" spans="1:9" ht="20.1" customHeight="1">
      <c r="A16" s="94">
        <v>11</v>
      </c>
      <c r="B16" s="84" t="s">
        <v>343</v>
      </c>
      <c r="C16" s="87">
        <f t="shared" si="1"/>
        <v>2023</v>
      </c>
      <c r="E16" s="177">
        <v>2428960233</v>
      </c>
      <c r="F16" s="177"/>
      <c r="G16" s="177"/>
      <c r="H16" s="184">
        <f t="shared" si="0"/>
        <v>2428960233</v>
      </c>
      <c r="I16" s="177">
        <v>1600000000</v>
      </c>
    </row>
    <row r="17" spans="1:9" ht="20.1" customHeight="1">
      <c r="A17" s="94">
        <v>12</v>
      </c>
      <c r="B17" s="84" t="s">
        <v>342</v>
      </c>
      <c r="C17" s="87">
        <f t="shared" si="1"/>
        <v>2023</v>
      </c>
      <c r="E17" s="177">
        <v>2450365946</v>
      </c>
      <c r="F17" s="177"/>
      <c r="G17" s="177"/>
      <c r="H17" s="184">
        <f t="shared" si="0"/>
        <v>2450365946</v>
      </c>
      <c r="I17" s="177">
        <v>1600000000</v>
      </c>
    </row>
    <row r="18" spans="1:9" ht="20.1" customHeight="1">
      <c r="A18" s="94">
        <v>13</v>
      </c>
      <c r="B18" s="84" t="s">
        <v>333</v>
      </c>
      <c r="C18" s="87">
        <f t="shared" si="1"/>
        <v>2023</v>
      </c>
      <c r="E18" s="177">
        <v>2360793639</v>
      </c>
      <c r="F18" s="177"/>
      <c r="G18" s="177"/>
      <c r="H18" s="184">
        <f t="shared" si="0"/>
        <v>2360793639</v>
      </c>
      <c r="I18" s="177">
        <v>1600000000</v>
      </c>
    </row>
    <row r="19" spans="1:9" ht="20.1" customHeight="1">
      <c r="A19" s="84"/>
      <c r="E19" s="179"/>
      <c r="F19" s="179"/>
      <c r="G19" s="179"/>
      <c r="H19" s="179"/>
      <c r="I19" s="179"/>
    </row>
    <row r="20" spans="1:9" ht="20.1" customHeight="1">
      <c r="A20" s="94">
        <v>14</v>
      </c>
      <c r="B20" s="84" t="s">
        <v>363</v>
      </c>
      <c r="E20" s="179">
        <f>SUM(E6:E18)/13</f>
        <v>2333926055.3076925</v>
      </c>
      <c r="F20" s="179">
        <f>SUM(F6:F18)/13</f>
        <v>0</v>
      </c>
      <c r="G20" s="179">
        <f>SUM(G6:G18)/13</f>
        <v>0</v>
      </c>
      <c r="H20" s="179">
        <f>SUM(H6:H18)/13</f>
        <v>2333926055.3076925</v>
      </c>
      <c r="I20" s="179">
        <f>SUM(I6:I18)/13</f>
        <v>1569230769.2307692</v>
      </c>
    </row>
    <row r="21" spans="1:1" ht="20.1" customHeight="1">
      <c r="A21" s="94"/>
    </row>
    <row r="26" spans="1:1" ht="20.1" customHeight="1">
      <c r="A26" s="84" t="s">
        <v>365</v>
      </c>
    </row>
    <row r="27" spans="1:8" ht="20.1" customHeight="1">
      <c r="A27" s="90" t="s">
        <v>364</v>
      </c>
      <c r="B27" s="84" t="s">
        <v>366</v>
      </c>
      <c r="H27" s="105"/>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L47" sqref="L47"/>
    </sheetView>
  </sheetViews>
  <sheetFormatPr defaultColWidth="8.88555555555556" defaultRowHeight="12.75"/>
  <cols>
    <col min="1" max="16384" width="8.88888888888889" style="186"/>
  </cols>
  <sheetData>
    <row r="1" spans="1:1" ht="15.75">
      <c r="A1" s="93" t="str">
        <f ca="1">RIGHT(CELL("filename",D2),LEN(CELL("filename",D2))-FIND("]",CELL("filename",D2)))</f>
        <v>WP07 Stated-value Inputs</v>
      </c>
    </row>
    <row r="2" spans="1:3" ht="12.75">
      <c r="A2" s="187"/>
      <c r="C2" s="191"/>
    </row>
    <row r="3" spans="1:1" ht="12.75">
      <c r="A3" s="187" t="s">
        <v>508</v>
      </c>
    </row>
    <row r="4" spans="1:1" ht="12.75">
      <c r="A4" s="213" t="s">
        <v>560</v>
      </c>
    </row>
    <row r="5" spans="1:1" ht="12.75">
      <c r="A5" s="187"/>
    </row>
    <row r="7" spans="1:1" ht="12.75">
      <c r="A7" s="187" t="s">
        <v>509</v>
      </c>
    </row>
    <row r="9" spans="1:9" ht="39" customHeight="1">
      <c r="A9" s="856" t="s">
        <v>561</v>
      </c>
      <c r="B9" s="857"/>
      <c r="C9" s="857"/>
      <c r="D9" s="857"/>
      <c r="E9" s="857"/>
      <c r="F9" s="857"/>
      <c r="G9" s="857"/>
      <c r="H9" s="857"/>
      <c r="I9" s="857"/>
    </row>
    <row r="12" spans="1:1" ht="12.75">
      <c r="A12" s="187" t="s">
        <v>510</v>
      </c>
    </row>
    <row r="13" spans="1:2" ht="12.75">
      <c r="A13" s="187"/>
      <c r="B13" s="188" t="s">
        <v>511</v>
      </c>
    </row>
    <row r="15" spans="1:15" s="189" customFormat="1" ht="45" customHeight="1">
      <c r="A15" s="858" t="s">
        <v>515</v>
      </c>
      <c r="B15" s="858"/>
      <c r="C15" s="858"/>
      <c r="D15" s="858"/>
      <c r="E15" s="858"/>
      <c r="F15" s="858"/>
      <c r="G15" s="858"/>
      <c r="H15" s="858"/>
      <c r="I15" s="858"/>
      <c r="J15" s="196"/>
      <c r="K15" s="196"/>
      <c r="L15" s="196"/>
      <c r="M15" s="196"/>
      <c r="N15" s="196"/>
      <c r="O15" s="196"/>
    </row>
    <row r="18" spans="1:1" ht="12.75">
      <c r="A18" s="187" t="s">
        <v>512</v>
      </c>
    </row>
    <row r="19" spans="1:1" ht="12.75">
      <c r="A19" s="187"/>
    </row>
    <row r="20" spans="1:3" ht="12.75">
      <c r="A20" s="186" t="s">
        <v>513</v>
      </c>
      <c r="C20" s="186" t="s">
        <v>514</v>
      </c>
    </row>
    <row r="21" spans="1:3" ht="12.75">
      <c r="A21" s="186">
        <v>352</v>
      </c>
      <c r="C21" s="190">
        <v>0.0224</v>
      </c>
    </row>
    <row r="22" spans="1:3" ht="12.75">
      <c r="A22" s="186">
        <v>353</v>
      </c>
      <c r="C22" s="190">
        <v>0.0206</v>
      </c>
    </row>
    <row r="23" spans="1:3" ht="12.75">
      <c r="A23" s="186">
        <v>354</v>
      </c>
      <c r="C23" s="190">
        <v>0.0224</v>
      </c>
    </row>
    <row r="24" spans="1:3" ht="12.75">
      <c r="A24" s="186">
        <v>355</v>
      </c>
      <c r="C24" s="190">
        <v>0.0309</v>
      </c>
    </row>
    <row r="25" spans="1:3" ht="12.75">
      <c r="A25" s="186">
        <v>356</v>
      </c>
      <c r="C25" s="190">
        <v>0.0269</v>
      </c>
    </row>
    <row r="26" spans="1:3" ht="12.75">
      <c r="A26" s="186">
        <v>357</v>
      </c>
      <c r="C26" s="190">
        <v>0.02</v>
      </c>
    </row>
    <row r="27" spans="1:3" ht="12.75">
      <c r="A27" s="186">
        <v>358</v>
      </c>
      <c r="C27" s="190">
        <v>0.020400000000000001</v>
      </c>
    </row>
    <row r="28" spans="1:3" ht="12.75">
      <c r="A28" s="186">
        <v>359</v>
      </c>
      <c r="C28" s="190">
        <v>0.013299999999999999</v>
      </c>
    </row>
  </sheetData>
  <mergeCells count="2">
    <mergeCell ref="A9:I9"/>
    <mergeCell ref="A15:I15"/>
  </mergeCells>
  <pageMargins left="0.7" right="0.7" top="0.75" bottom="0.75" header="0.3" footer="0.3"/>
  <pageSetup orientation="portrait"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G16"/>
  <sheetViews>
    <sheetView view="pageBreakPreview" zoomScale="85" zoomScaleNormal="100" zoomScaleSheetLayoutView="85" workbookViewId="0" topLeftCell="A1">
      <selection pane="topLeft" activeCell="F15" sqref="F15"/>
    </sheetView>
  </sheetViews>
  <sheetFormatPr defaultColWidth="8.88555555555556" defaultRowHeight="12.75"/>
  <cols>
    <col min="1" max="1" width="8.88888888888889" style="219"/>
    <col min="2" max="2" width="2.88888888888889" style="219" customWidth="1"/>
    <col min="3" max="3" width="25.1111111111111" style="219" customWidth="1"/>
    <col min="4" max="6" width="15.8888888888889" style="219" customWidth="1"/>
    <col min="7" max="7" width="16.8888888888889" style="219" customWidth="1"/>
    <col min="8" max="16384" width="8.88888888888889" style="219"/>
  </cols>
  <sheetData>
    <row r="1" spans="1:2" ht="15.75">
      <c r="A1" s="93" t="str">
        <f ca="1">RIGHT(CELL("filename",E2),LEN(CELL("filename",E2))-FIND("]",CELL("filename",E2)))</f>
        <v>WP08 Tax Rates</v>
      </c>
      <c r="B1" s="93"/>
    </row>
    <row r="2" spans="1:4" ht="12.75">
      <c r="A2" s="220"/>
      <c r="B2" s="220"/>
      <c r="D2" s="221"/>
    </row>
    <row r="4" spans="2:7" ht="13.5" thickBot="1">
      <c r="B4" s="222" t="s">
        <v>586</v>
      </c>
      <c r="C4" s="222"/>
      <c r="D4" s="222"/>
      <c r="E4" s="222"/>
      <c r="F4" s="222"/>
      <c r="G4" s="222"/>
    </row>
    <row r="6" spans="3:4" ht="12.75">
      <c r="C6" s="219" t="s">
        <v>582</v>
      </c>
      <c r="D6" s="223">
        <v>0.20999999999999999</v>
      </c>
    </row>
    <row r="7" spans="3:3" ht="25.5">
      <c r="C7" s="224" t="s">
        <v>587</v>
      </c>
    </row>
    <row r="8" spans="3:3" ht="12.75">
      <c r="C8" s="224"/>
    </row>
    <row r="9" spans="3:3" ht="12.75">
      <c r="C9" s="224"/>
    </row>
    <row r="10" spans="2:7" ht="13.5" thickBot="1">
      <c r="B10" s="222" t="s">
        <v>588</v>
      </c>
      <c r="C10" s="222"/>
      <c r="D10" s="222"/>
      <c r="E10" s="222"/>
      <c r="F10" s="222"/>
      <c r="G10" s="222"/>
    </row>
    <row r="11" spans="2:7" ht="12.75">
      <c r="B11" s="225"/>
      <c r="C11" s="225"/>
      <c r="D11" s="225"/>
      <c r="E11" s="225"/>
      <c r="F11" s="225"/>
      <c r="G11" s="225"/>
    </row>
    <row r="12" spans="4:7" ht="12.75">
      <c r="D12" s="226" t="s">
        <v>589</v>
      </c>
      <c r="E12" s="226" t="s">
        <v>590</v>
      </c>
      <c r="F12" s="226" t="s">
        <v>591</v>
      </c>
      <c r="G12" s="226" t="s">
        <v>592</v>
      </c>
    </row>
    <row r="13" spans="4:7" ht="25.5">
      <c r="D13" s="226"/>
      <c r="E13" s="226"/>
      <c r="F13" s="226"/>
      <c r="G13" s="227" t="s">
        <v>587</v>
      </c>
    </row>
    <row r="14" spans="3:6" ht="12.75">
      <c r="C14" s="219" t="s">
        <v>584</v>
      </c>
      <c r="D14" s="223">
        <v>0.021944000000000002</v>
      </c>
      <c r="E14" s="223">
        <v>0.089899999999999994</v>
      </c>
      <c r="F14" s="223">
        <v>0.065000000000000002</v>
      </c>
    </row>
    <row r="15" spans="3:6" ht="12.75">
      <c r="C15" s="219" t="s">
        <v>585</v>
      </c>
      <c r="D15" s="223">
        <v>0.43537599999999999</v>
      </c>
      <c r="E15" s="223">
        <v>0.066805000000000003</v>
      </c>
      <c r="F15" s="223">
        <v>0</v>
      </c>
    </row>
    <row r="16" spans="3:7" ht="13.5" thickBot="1">
      <c r="C16" s="219" t="s">
        <v>583</v>
      </c>
      <c r="D16" s="228">
        <f>D14*D15</f>
        <v>0.0095538909440000003</v>
      </c>
      <c r="E16" s="228">
        <f t="shared" si="0" ref="E16:F16">E14*E15</f>
        <v>0.0060057694999999999</v>
      </c>
      <c r="F16" s="228">
        <f t="shared" si="0"/>
        <v>0</v>
      </c>
      <c r="G16" s="228">
        <f>SUM(D16:F16)</f>
        <v>0.015559660443999999</v>
      </c>
    </row>
    <row r="17" ht="13.5" thickTop="1"/>
  </sheetData>
  <pageMargins left="0.7" right="0.7" top="0.75" bottom="0.75" header="0.3" footer="0.3"/>
  <pageSetup orientation="portrait"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29"/>
  <sheetViews>
    <sheetView view="pageBreakPreview" zoomScale="70" zoomScaleNormal="65" zoomScaleSheetLayoutView="70" workbookViewId="0" topLeftCell="A1">
      <selection pane="topLeft" activeCell="J11" sqref="J11"/>
    </sheetView>
  </sheetViews>
  <sheetFormatPr defaultColWidth="8.88555555555556" defaultRowHeight="15.75"/>
  <cols>
    <col min="1" max="1" width="5.33333333333333" style="65" bestFit="1" customWidth="1"/>
    <col min="2" max="2" width="15.8888888888889" style="17" customWidth="1"/>
    <col min="3" max="3" width="5.88888888888889" style="241" customWidth="1"/>
    <col min="4" max="4" width="31.8888888888889" style="14" bestFit="1" customWidth="1"/>
    <col min="5" max="5" width="4.88888888888889" style="40" customWidth="1"/>
    <col min="6" max="6" width="18.8888888888889" style="241" customWidth="1"/>
    <col min="7" max="10" width="18.8888888888889" style="14" customWidth="1"/>
    <col min="11" max="11" width="4.88888888888889" style="14" customWidth="1"/>
    <col min="12" max="16384" width="8.88888888888889" style="14"/>
  </cols>
  <sheetData>
    <row r="1" spans="1:11" ht="15.75">
      <c r="A1" s="612"/>
      <c r="B1" s="612"/>
      <c r="C1" s="612"/>
      <c r="D1" s="612"/>
      <c r="K1" s="4" t="s">
        <v>462</v>
      </c>
    </row>
    <row r="2" spans="1:11" ht="15.75">
      <c r="A2" s="612"/>
      <c r="B2" s="612"/>
      <c r="C2" s="612"/>
      <c r="D2" s="612"/>
      <c r="K2" s="4" t="s">
        <v>276</v>
      </c>
    </row>
    <row r="3" spans="1:11" ht="15.75">
      <c r="A3" s="612"/>
      <c r="B3" s="612"/>
      <c r="C3" s="612"/>
      <c r="D3" s="612"/>
      <c r="K3" s="7" t="str">
        <f>'Attachment H-21-A ATSI '!K4</f>
        <v>For the 12 months ended 12/31/2023</v>
      </c>
    </row>
    <row r="5" spans="2:10" ht="15.75">
      <c r="B5" s="827" t="s">
        <v>622</v>
      </c>
      <c r="C5" s="827"/>
      <c r="D5" s="827"/>
      <c r="E5" s="827"/>
      <c r="F5" s="827"/>
      <c r="G5" s="827"/>
      <c r="H5" s="827"/>
      <c r="I5" s="827"/>
      <c r="J5" s="827"/>
    </row>
    <row r="6" spans="2:10" ht="15.75">
      <c r="B6" s="828" t="s">
        <v>313</v>
      </c>
      <c r="C6" s="828"/>
      <c r="D6" s="828"/>
      <c r="E6" s="828"/>
      <c r="F6" s="828"/>
      <c r="G6" s="828"/>
      <c r="H6" s="828"/>
      <c r="I6" s="828"/>
      <c r="J6" s="828"/>
    </row>
    <row r="8" spans="1:10" s="46" customFormat="1" ht="15.75">
      <c r="A8" s="65"/>
      <c r="B8" s="245" t="s">
        <v>364</v>
      </c>
      <c r="C8" s="65" t="s">
        <v>378</v>
      </c>
      <c r="D8" s="46" t="s">
        <v>507</v>
      </c>
      <c r="E8" s="40"/>
      <c r="F8" s="46" t="s">
        <v>548</v>
      </c>
      <c r="G8" s="65" t="s">
        <v>551</v>
      </c>
      <c r="H8" s="46" t="s">
        <v>612</v>
      </c>
      <c r="I8" s="46" t="s">
        <v>613</v>
      </c>
      <c r="J8" s="46" t="s">
        <v>614</v>
      </c>
    </row>
    <row r="9" spans="2:10" s="243" customFormat="1" ht="65.1" customHeight="1">
      <c r="B9" s="243" t="s">
        <v>602</v>
      </c>
      <c r="D9" s="243" t="s">
        <v>603</v>
      </c>
      <c r="E9" s="246"/>
      <c r="F9" s="244" t="s">
        <v>606</v>
      </c>
      <c r="G9" s="243" t="s">
        <v>607</v>
      </c>
      <c r="H9" s="243" t="s">
        <v>608</v>
      </c>
      <c r="I9" s="243" t="s">
        <v>609</v>
      </c>
      <c r="J9" s="243" t="s">
        <v>610</v>
      </c>
    </row>
    <row r="10" spans="5:10" s="243" customFormat="1" ht="15.75">
      <c r="E10" s="246"/>
      <c r="F10" s="244"/>
      <c r="G10" s="494" t="s">
        <v>648</v>
      </c>
      <c r="H10" s="494" t="s">
        <v>649</v>
      </c>
      <c r="I10" s="494"/>
      <c r="J10" s="494" t="s">
        <v>653</v>
      </c>
    </row>
    <row r="11" spans="1:11" ht="15.75">
      <c r="A11" s="65">
        <v>1</v>
      </c>
      <c r="B11" s="17" t="s">
        <v>333</v>
      </c>
      <c r="C11" s="242">
        <v>2022</v>
      </c>
      <c r="D11" s="14" t="s">
        <v>604</v>
      </c>
      <c r="F11" s="247">
        <v>97</v>
      </c>
      <c r="G11" s="170"/>
      <c r="H11" s="170"/>
      <c r="I11" s="170"/>
      <c r="J11" s="185">
        <v>7476655.9999999963</v>
      </c>
      <c r="K11" s="240"/>
    </row>
    <row r="12" spans="1:10" ht="15.75">
      <c r="A12" s="65">
        <v>2</v>
      </c>
      <c r="B12" s="17" t="s">
        <v>334</v>
      </c>
      <c r="C12" s="242">
        <f>C11+1</f>
        <v>2023</v>
      </c>
      <c r="D12" s="14" t="s">
        <v>636</v>
      </c>
      <c r="F12" s="247">
        <f>F11-1</f>
        <v>96</v>
      </c>
      <c r="G12" s="170">
        <f>J11</f>
        <v>7476655.9999999963</v>
      </c>
      <c r="H12" s="170">
        <f>G12/F12</f>
        <v>77881.833333333299</v>
      </c>
      <c r="I12" s="185">
        <v>0</v>
      </c>
      <c r="J12" s="170">
        <f>G12-H12+I12</f>
        <v>7398774.1666666633</v>
      </c>
    </row>
    <row r="13" spans="1:10" ht="15.75">
      <c r="A13" s="65">
        <v>3</v>
      </c>
      <c r="B13" s="17" t="s">
        <v>335</v>
      </c>
      <c r="C13" s="242">
        <f>C12</f>
        <v>2023</v>
      </c>
      <c r="D13" s="14" t="s">
        <v>636</v>
      </c>
      <c r="F13" s="247">
        <f t="shared" si="0" ref="F13:F23">F12-1</f>
        <v>95</v>
      </c>
      <c r="G13" s="170">
        <f t="shared" si="1" ref="G13:G22">J12</f>
        <v>7398774.1666666633</v>
      </c>
      <c r="H13" s="170">
        <f t="shared" si="2" ref="H13:H23">G13/F13</f>
        <v>77881.833333333299</v>
      </c>
      <c r="I13" s="185">
        <v>0</v>
      </c>
      <c r="J13" s="170">
        <f t="shared" si="3" ref="J13:J23">G13-H13+I13</f>
        <v>7320892.3333333302</v>
      </c>
    </row>
    <row r="14" spans="1:10" ht="15.75">
      <c r="A14" s="65">
        <v>4</v>
      </c>
      <c r="B14" s="17" t="s">
        <v>336</v>
      </c>
      <c r="C14" s="242">
        <f t="shared" si="4" ref="C14:C23">C13</f>
        <v>2023</v>
      </c>
      <c r="D14" s="14" t="s">
        <v>636</v>
      </c>
      <c r="F14" s="247">
        <f t="shared" si="0"/>
        <v>94</v>
      </c>
      <c r="G14" s="170">
        <f t="shared" si="1"/>
        <v>7320892.3333333302</v>
      </c>
      <c r="H14" s="170">
        <f t="shared" si="2"/>
        <v>77881.833333333299</v>
      </c>
      <c r="I14" s="185">
        <v>0</v>
      </c>
      <c r="J14" s="170">
        <f t="shared" si="3"/>
        <v>7243010.4999999972</v>
      </c>
    </row>
    <row r="15" spans="1:10" ht="15.75">
      <c r="A15" s="65">
        <v>5</v>
      </c>
      <c r="B15" s="17" t="s">
        <v>337</v>
      </c>
      <c r="C15" s="242">
        <f t="shared" si="4"/>
        <v>2023</v>
      </c>
      <c r="D15" s="14" t="s">
        <v>636</v>
      </c>
      <c r="F15" s="247">
        <f t="shared" si="0"/>
        <v>93</v>
      </c>
      <c r="G15" s="170">
        <f t="shared" si="1"/>
        <v>7243010.4999999972</v>
      </c>
      <c r="H15" s="170">
        <f t="shared" si="2"/>
        <v>77881.833333333299</v>
      </c>
      <c r="I15" s="185">
        <v>0</v>
      </c>
      <c r="J15" s="170">
        <f t="shared" si="3"/>
        <v>7165128.6666666642</v>
      </c>
    </row>
    <row r="16" spans="1:10" ht="15.75">
      <c r="A16" s="65">
        <v>6</v>
      </c>
      <c r="B16" s="17" t="s">
        <v>338</v>
      </c>
      <c r="C16" s="242">
        <f t="shared" si="4"/>
        <v>2023</v>
      </c>
      <c r="D16" s="14" t="s">
        <v>636</v>
      </c>
      <c r="F16" s="247">
        <f t="shared" si="0"/>
        <v>92</v>
      </c>
      <c r="G16" s="170">
        <f t="shared" si="1"/>
        <v>7165128.6666666642</v>
      </c>
      <c r="H16" s="170">
        <f t="shared" si="2"/>
        <v>77881.833333333299</v>
      </c>
      <c r="I16" s="185">
        <v>0</v>
      </c>
      <c r="J16" s="170">
        <f t="shared" si="3"/>
        <v>7087246.8333333312</v>
      </c>
    </row>
    <row r="17" spans="1:10" ht="15.75">
      <c r="A17" s="65">
        <v>7</v>
      </c>
      <c r="B17" s="17" t="s">
        <v>354</v>
      </c>
      <c r="C17" s="242">
        <f t="shared" si="4"/>
        <v>2023</v>
      </c>
      <c r="D17" s="14" t="s">
        <v>636</v>
      </c>
      <c r="F17" s="247">
        <f t="shared" si="0"/>
        <v>91</v>
      </c>
      <c r="G17" s="170">
        <f t="shared" si="1"/>
        <v>7087246.8333333312</v>
      </c>
      <c r="H17" s="170">
        <f t="shared" si="2"/>
        <v>77881.833333333314</v>
      </c>
      <c r="I17" s="185">
        <v>0</v>
      </c>
      <c r="J17" s="170">
        <f t="shared" si="3"/>
        <v>7009364.9999999981</v>
      </c>
    </row>
    <row r="18" spans="1:10" ht="15.75">
      <c r="A18" s="65">
        <v>8</v>
      </c>
      <c r="B18" s="17" t="s">
        <v>339</v>
      </c>
      <c r="C18" s="242">
        <f t="shared" si="4"/>
        <v>2023</v>
      </c>
      <c r="D18" s="14" t="s">
        <v>636</v>
      </c>
      <c r="F18" s="247">
        <f t="shared" si="0"/>
        <v>90</v>
      </c>
      <c r="G18" s="170">
        <f t="shared" si="1"/>
        <v>7009364.9999999981</v>
      </c>
      <c r="H18" s="170">
        <f t="shared" si="2"/>
        <v>77881.833333333314</v>
      </c>
      <c r="I18" s="185">
        <v>0</v>
      </c>
      <c r="J18" s="170">
        <f t="shared" si="3"/>
        <v>6931483.1666666651</v>
      </c>
    </row>
    <row r="19" spans="1:10" ht="15.75">
      <c r="A19" s="65">
        <v>9</v>
      </c>
      <c r="B19" s="17" t="s">
        <v>340</v>
      </c>
      <c r="C19" s="242">
        <f t="shared" si="4"/>
        <v>2023</v>
      </c>
      <c r="D19" s="14" t="s">
        <v>636</v>
      </c>
      <c r="F19" s="247">
        <f t="shared" si="0"/>
        <v>89</v>
      </c>
      <c r="G19" s="170">
        <f t="shared" si="1"/>
        <v>6931483.1666666651</v>
      </c>
      <c r="H19" s="170">
        <f t="shared" si="2"/>
        <v>77881.833333333314</v>
      </c>
      <c r="I19" s="185">
        <v>0</v>
      </c>
      <c r="J19" s="170">
        <f t="shared" si="3"/>
        <v>6853601.3333333321</v>
      </c>
    </row>
    <row r="20" spans="1:10" ht="15.75">
      <c r="A20" s="65">
        <v>10</v>
      </c>
      <c r="B20" s="17" t="s">
        <v>341</v>
      </c>
      <c r="C20" s="242">
        <f t="shared" si="4"/>
        <v>2023</v>
      </c>
      <c r="D20" s="14" t="s">
        <v>636</v>
      </c>
      <c r="F20" s="247">
        <f t="shared" si="0"/>
        <v>88</v>
      </c>
      <c r="G20" s="170">
        <f t="shared" si="1"/>
        <v>6853601.3333333321</v>
      </c>
      <c r="H20" s="170">
        <f t="shared" si="2"/>
        <v>77881.833333333314</v>
      </c>
      <c r="I20" s="185">
        <v>0</v>
      </c>
      <c r="J20" s="170">
        <f t="shared" si="3"/>
        <v>6775719.4999999991</v>
      </c>
    </row>
    <row r="21" spans="1:10" ht="15.75">
      <c r="A21" s="65">
        <v>11</v>
      </c>
      <c r="B21" s="17" t="s">
        <v>343</v>
      </c>
      <c r="C21" s="242">
        <f t="shared" si="4"/>
        <v>2023</v>
      </c>
      <c r="D21" s="14" t="s">
        <v>636</v>
      </c>
      <c r="F21" s="247">
        <f t="shared" si="0"/>
        <v>87</v>
      </c>
      <c r="G21" s="170">
        <f t="shared" si="1"/>
        <v>6775719.4999999991</v>
      </c>
      <c r="H21" s="170">
        <f t="shared" si="2"/>
        <v>77881.833333333328</v>
      </c>
      <c r="I21" s="185">
        <v>0</v>
      </c>
      <c r="J21" s="170">
        <f t="shared" si="3"/>
        <v>6697837.666666666</v>
      </c>
    </row>
    <row r="22" spans="1:10" ht="15.75">
      <c r="A22" s="65">
        <v>12</v>
      </c>
      <c r="B22" s="17" t="s">
        <v>342</v>
      </c>
      <c r="C22" s="242">
        <f t="shared" si="4"/>
        <v>2023</v>
      </c>
      <c r="D22" s="14" t="s">
        <v>636</v>
      </c>
      <c r="F22" s="247">
        <f t="shared" si="0"/>
        <v>86</v>
      </c>
      <c r="G22" s="170">
        <f t="shared" si="1"/>
        <v>6697837.666666666</v>
      </c>
      <c r="H22" s="170">
        <f t="shared" si="2"/>
        <v>77881.833333333328</v>
      </c>
      <c r="I22" s="185">
        <v>0</v>
      </c>
      <c r="J22" s="170">
        <f t="shared" si="3"/>
        <v>6619955.833333333</v>
      </c>
    </row>
    <row r="23" spans="1:10" s="255" customFormat="1" ht="16.5" thickBot="1">
      <c r="A23" s="248">
        <v>13</v>
      </c>
      <c r="B23" s="249" t="s">
        <v>333</v>
      </c>
      <c r="C23" s="250">
        <f t="shared" si="4"/>
        <v>2023</v>
      </c>
      <c r="D23" s="255" t="s">
        <v>618</v>
      </c>
      <c r="E23" s="251"/>
      <c r="F23" s="252">
        <f t="shared" si="0"/>
        <v>85</v>
      </c>
      <c r="G23" s="253">
        <f>J22</f>
        <v>6619955.833333333</v>
      </c>
      <c r="H23" s="258">
        <f t="shared" si="2"/>
        <v>77881.833333333328</v>
      </c>
      <c r="I23" s="254">
        <v>0</v>
      </c>
      <c r="J23" s="253">
        <f t="shared" si="3"/>
        <v>6542074</v>
      </c>
    </row>
    <row r="24" spans="1:10" s="255" customFormat="1" ht="15.75">
      <c r="A24" s="248">
        <v>14</v>
      </c>
      <c r="B24" s="249"/>
      <c r="C24" s="257"/>
      <c r="E24" s="251"/>
      <c r="F24" s="248"/>
      <c r="G24" s="259" t="s">
        <v>616</v>
      </c>
      <c r="H24" s="253">
        <f>SUM(H12:H23)</f>
        <v>934581.99999999988</v>
      </c>
      <c r="I24" s="763"/>
      <c r="J24" s="764"/>
    </row>
    <row r="25" spans="1:10" ht="15.75">
      <c r="A25" s="65">
        <v>15</v>
      </c>
      <c r="G25" s="40" t="s">
        <v>617</v>
      </c>
      <c r="I25" s="765"/>
      <c r="J25" s="766"/>
    </row>
    <row r="26" spans="1:9" ht="15.75">
      <c r="A26" s="65">
        <v>16</v>
      </c>
      <c r="F26" s="40" t="s">
        <v>620</v>
      </c>
      <c r="G26" s="40" t="s">
        <v>742</v>
      </c>
      <c r="I26" s="765"/>
    </row>
    <row r="28" spans="1:1" ht="15.75">
      <c r="A28" s="76" t="s">
        <v>298</v>
      </c>
    </row>
    <row r="29" spans="1:11" s="674" customFormat="1" ht="33" customHeight="1">
      <c r="A29" s="74" t="s">
        <v>141</v>
      </c>
      <c r="B29" s="829" t="s">
        <v>842</v>
      </c>
      <c r="C29" s="829"/>
      <c r="D29" s="829"/>
      <c r="E29" s="829"/>
      <c r="F29" s="829"/>
      <c r="G29" s="829"/>
      <c r="H29" s="829"/>
      <c r="I29" s="829"/>
      <c r="J29" s="829"/>
      <c r="K29" s="829"/>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K29"/>
  <sheetViews>
    <sheetView view="pageBreakPreview" zoomScale="70" zoomScaleNormal="65" zoomScaleSheetLayoutView="70" workbookViewId="0" topLeftCell="A1">
      <selection pane="topLeft" activeCell="J11" sqref="J11"/>
    </sheetView>
  </sheetViews>
  <sheetFormatPr defaultColWidth="8.88555555555556" defaultRowHeight="15.75"/>
  <cols>
    <col min="1" max="1" width="5.33333333333333" style="65" bestFit="1" customWidth="1"/>
    <col min="2" max="2" width="15.8888888888889" style="17" customWidth="1"/>
    <col min="3" max="3" width="5.88888888888889" style="241" customWidth="1"/>
    <col min="4" max="4" width="31.8888888888889" style="14" bestFit="1" customWidth="1"/>
    <col min="5" max="5" width="4.88888888888889" style="40" customWidth="1"/>
    <col min="6" max="6" width="18.8888888888889" style="241" customWidth="1"/>
    <col min="7" max="10" width="18.8888888888889" style="14" customWidth="1"/>
    <col min="11" max="11" width="4.88888888888889" style="14" customWidth="1"/>
    <col min="12" max="16384" width="8.88888888888889" style="14"/>
  </cols>
  <sheetData>
    <row r="1" spans="1:11" ht="15.75">
      <c r="A1" s="612"/>
      <c r="B1" s="612"/>
      <c r="C1" s="612"/>
      <c r="D1" s="612"/>
      <c r="K1" s="4" t="s">
        <v>308</v>
      </c>
    </row>
    <row r="2" spans="1:11" ht="15.75">
      <c r="A2" s="612"/>
      <c r="B2" s="612"/>
      <c r="C2" s="612"/>
      <c r="D2" s="612"/>
      <c r="K2" s="4" t="s">
        <v>276</v>
      </c>
    </row>
    <row r="3" spans="1:11" ht="15.75">
      <c r="A3" s="612"/>
      <c r="B3" s="612"/>
      <c r="C3" s="612"/>
      <c r="D3" s="612"/>
      <c r="K3" s="7" t="str">
        <f>'Attachment H-21-A ATSI '!K4</f>
        <v>For the 12 months ended 12/31/2023</v>
      </c>
    </row>
    <row r="5" spans="2:10" ht="15.75">
      <c r="B5" s="827" t="s">
        <v>611</v>
      </c>
      <c r="C5" s="827"/>
      <c r="D5" s="827"/>
      <c r="E5" s="827"/>
      <c r="F5" s="827"/>
      <c r="G5" s="827"/>
      <c r="H5" s="827"/>
      <c r="I5" s="827"/>
      <c r="J5" s="827"/>
    </row>
    <row r="6" spans="2:10" ht="15.75">
      <c r="B6" s="828" t="s">
        <v>313</v>
      </c>
      <c r="C6" s="828"/>
      <c r="D6" s="828"/>
      <c r="E6" s="828"/>
      <c r="F6" s="828"/>
      <c r="G6" s="828"/>
      <c r="H6" s="828"/>
      <c r="I6" s="828"/>
      <c r="J6" s="828"/>
    </row>
    <row r="8" spans="1:10" s="46" customFormat="1" ht="15.75">
      <c r="A8" s="65"/>
      <c r="B8" s="12" t="s">
        <v>364</v>
      </c>
      <c r="C8" s="65" t="s">
        <v>378</v>
      </c>
      <c r="D8" s="46" t="s">
        <v>507</v>
      </c>
      <c r="E8" s="40"/>
      <c r="F8" s="46" t="s">
        <v>548</v>
      </c>
      <c r="G8" s="65" t="s">
        <v>551</v>
      </c>
      <c r="H8" s="46" t="s">
        <v>612</v>
      </c>
      <c r="I8" s="46" t="s">
        <v>613</v>
      </c>
      <c r="J8" s="46" t="s">
        <v>614</v>
      </c>
    </row>
    <row r="9" spans="2:10" s="243" customFormat="1" ht="65.1" customHeight="1">
      <c r="B9" s="243" t="s">
        <v>602</v>
      </c>
      <c r="D9" s="243" t="s">
        <v>603</v>
      </c>
      <c r="E9" s="246"/>
      <c r="F9" s="244" t="s">
        <v>606</v>
      </c>
      <c r="G9" s="243" t="s">
        <v>607</v>
      </c>
      <c r="H9" s="243" t="s">
        <v>608</v>
      </c>
      <c r="I9" s="243" t="s">
        <v>609</v>
      </c>
      <c r="J9" s="243" t="s">
        <v>610</v>
      </c>
    </row>
    <row r="10" spans="5:10" s="243" customFormat="1" ht="15.75">
      <c r="E10" s="246"/>
      <c r="F10" s="244"/>
      <c r="G10" s="494" t="s">
        <v>648</v>
      </c>
      <c r="H10" s="494" t="s">
        <v>649</v>
      </c>
      <c r="I10" s="494"/>
      <c r="J10" s="494" t="s">
        <v>653</v>
      </c>
    </row>
    <row r="11" spans="1:11" ht="15.75">
      <c r="A11" s="65">
        <v>1</v>
      </c>
      <c r="B11" s="17" t="s">
        <v>333</v>
      </c>
      <c r="C11" s="242">
        <f>'Appendix B-Veg'!C11</f>
        <v>2022</v>
      </c>
      <c r="D11" s="14" t="s">
        <v>604</v>
      </c>
      <c r="F11" s="247">
        <v>97</v>
      </c>
      <c r="G11" s="170"/>
      <c r="H11" s="170"/>
      <c r="I11" s="170"/>
      <c r="J11" s="185">
        <v>9212608.7999999821</v>
      </c>
      <c r="K11" s="229"/>
    </row>
    <row r="12" spans="1:10" ht="15.75">
      <c r="A12" s="65">
        <v>2</v>
      </c>
      <c r="B12" s="17" t="s">
        <v>334</v>
      </c>
      <c r="C12" s="242">
        <f>C11+1</f>
        <v>2023</v>
      </c>
      <c r="D12" s="14" t="s">
        <v>636</v>
      </c>
      <c r="F12" s="247">
        <f>F11-1</f>
        <v>96</v>
      </c>
      <c r="G12" s="170">
        <f t="shared" si="0" ref="G12:G22">J11</f>
        <v>9212608.7999999821</v>
      </c>
      <c r="H12" s="170">
        <f>G12/F12</f>
        <v>95964.674999999814</v>
      </c>
      <c r="I12" s="185">
        <v>0</v>
      </c>
      <c r="J12" s="170">
        <f>G12-H12+I12</f>
        <v>9116644.1249999814</v>
      </c>
    </row>
    <row r="13" spans="1:10" ht="15.75">
      <c r="A13" s="65">
        <v>3</v>
      </c>
      <c r="B13" s="17" t="s">
        <v>335</v>
      </c>
      <c r="C13" s="242">
        <f>C12</f>
        <v>2023</v>
      </c>
      <c r="D13" s="14" t="s">
        <v>636</v>
      </c>
      <c r="F13" s="247">
        <f t="shared" si="1" ref="F13:F23">F12-1</f>
        <v>95</v>
      </c>
      <c r="G13" s="170">
        <f t="shared" si="0"/>
        <v>9116644.1249999814</v>
      </c>
      <c r="H13" s="170">
        <f t="shared" si="2" ref="H13:H23">G13/F13</f>
        <v>95964.674999999799</v>
      </c>
      <c r="I13" s="185">
        <v>0</v>
      </c>
      <c r="J13" s="170">
        <f t="shared" si="3" ref="J13:J23">G13-H13+I13</f>
        <v>9020679.4499999825</v>
      </c>
    </row>
    <row r="14" spans="1:10" ht="15.75">
      <c r="A14" s="65">
        <v>4</v>
      </c>
      <c r="B14" s="17" t="s">
        <v>336</v>
      </c>
      <c r="C14" s="242">
        <f t="shared" si="4" ref="C14:C23">C13</f>
        <v>2023</v>
      </c>
      <c r="D14" s="14" t="s">
        <v>636</v>
      </c>
      <c r="F14" s="247">
        <f t="shared" si="1"/>
        <v>94</v>
      </c>
      <c r="G14" s="170">
        <f t="shared" si="0"/>
        <v>9020679.4499999825</v>
      </c>
      <c r="H14" s="170">
        <f t="shared" si="2"/>
        <v>95964.674999999814</v>
      </c>
      <c r="I14" s="185">
        <v>0</v>
      </c>
      <c r="J14" s="170">
        <f>G14-H14+I14</f>
        <v>8924714.7749999836</v>
      </c>
    </row>
    <row r="15" spans="1:10" ht="15.75">
      <c r="A15" s="65">
        <v>5</v>
      </c>
      <c r="B15" s="17" t="s">
        <v>337</v>
      </c>
      <c r="C15" s="242">
        <f t="shared" si="4"/>
        <v>2023</v>
      </c>
      <c r="D15" s="14" t="s">
        <v>636</v>
      </c>
      <c r="F15" s="247">
        <f t="shared" si="1"/>
        <v>93</v>
      </c>
      <c r="G15" s="170">
        <f t="shared" si="0"/>
        <v>8924714.7749999836</v>
      </c>
      <c r="H15" s="170">
        <f t="shared" si="2"/>
        <v>95964.674999999828</v>
      </c>
      <c r="I15" s="185">
        <v>0</v>
      </c>
      <c r="J15" s="170">
        <f t="shared" si="3"/>
        <v>8828750.0999999829</v>
      </c>
    </row>
    <row r="16" spans="1:10" ht="15.75">
      <c r="A16" s="65">
        <v>6</v>
      </c>
      <c r="B16" s="17" t="s">
        <v>338</v>
      </c>
      <c r="C16" s="242">
        <f t="shared" si="4"/>
        <v>2023</v>
      </c>
      <c r="D16" s="14" t="s">
        <v>636</v>
      </c>
      <c r="F16" s="247">
        <f t="shared" si="1"/>
        <v>92</v>
      </c>
      <c r="G16" s="170">
        <f t="shared" si="0"/>
        <v>8828750.0999999829</v>
      </c>
      <c r="H16" s="170">
        <f t="shared" si="2"/>
        <v>95964.674999999814</v>
      </c>
      <c r="I16" s="185">
        <v>0</v>
      </c>
      <c r="J16" s="170">
        <f t="shared" si="3"/>
        <v>8732785.4249999821</v>
      </c>
    </row>
    <row r="17" spans="1:10" ht="15.75">
      <c r="A17" s="65">
        <v>7</v>
      </c>
      <c r="B17" s="17" t="s">
        <v>354</v>
      </c>
      <c r="C17" s="242">
        <f t="shared" si="4"/>
        <v>2023</v>
      </c>
      <c r="D17" s="14" t="s">
        <v>636</v>
      </c>
      <c r="F17" s="247">
        <f t="shared" si="1"/>
        <v>91</v>
      </c>
      <c r="G17" s="170">
        <f t="shared" si="0"/>
        <v>8732785.4249999821</v>
      </c>
      <c r="H17" s="170">
        <f t="shared" si="2"/>
        <v>95964.674999999799</v>
      </c>
      <c r="I17" s="185">
        <v>0</v>
      </c>
      <c r="J17" s="170">
        <f t="shared" si="3"/>
        <v>8636820.7499999832</v>
      </c>
    </row>
    <row r="18" spans="1:10" ht="15.75">
      <c r="A18" s="65">
        <v>8</v>
      </c>
      <c r="B18" s="17" t="s">
        <v>339</v>
      </c>
      <c r="C18" s="242">
        <f t="shared" si="4"/>
        <v>2023</v>
      </c>
      <c r="D18" s="14" t="s">
        <v>636</v>
      </c>
      <c r="F18" s="247">
        <f t="shared" si="1"/>
        <v>90</v>
      </c>
      <c r="G18" s="170">
        <f t="shared" si="0"/>
        <v>8636820.7499999832</v>
      </c>
      <c r="H18" s="170">
        <f t="shared" si="2"/>
        <v>95964.674999999814</v>
      </c>
      <c r="I18" s="185">
        <v>0</v>
      </c>
      <c r="J18" s="170">
        <f t="shared" si="3"/>
        <v>8540856.0749999844</v>
      </c>
    </row>
    <row r="19" spans="1:10" ht="15.75">
      <c r="A19" s="65">
        <v>9</v>
      </c>
      <c r="B19" s="17" t="s">
        <v>340</v>
      </c>
      <c r="C19" s="242">
        <f t="shared" si="4"/>
        <v>2023</v>
      </c>
      <c r="D19" s="14" t="s">
        <v>636</v>
      </c>
      <c r="F19" s="247">
        <f t="shared" si="1"/>
        <v>89</v>
      </c>
      <c r="G19" s="170">
        <f t="shared" si="0"/>
        <v>8540856.0749999844</v>
      </c>
      <c r="H19" s="170">
        <f t="shared" si="2"/>
        <v>95964.674999999828</v>
      </c>
      <c r="I19" s="185">
        <v>0</v>
      </c>
      <c r="J19" s="170">
        <f t="shared" si="3"/>
        <v>8444891.3999999836</v>
      </c>
    </row>
    <row r="20" spans="1:10" ht="15.75">
      <c r="A20" s="65">
        <v>10</v>
      </c>
      <c r="B20" s="17" t="s">
        <v>341</v>
      </c>
      <c r="C20" s="242">
        <f t="shared" si="4"/>
        <v>2023</v>
      </c>
      <c r="D20" s="14" t="s">
        <v>636</v>
      </c>
      <c r="F20" s="247">
        <f t="shared" si="1"/>
        <v>88</v>
      </c>
      <c r="G20" s="170">
        <f t="shared" si="0"/>
        <v>8444891.3999999836</v>
      </c>
      <c r="H20" s="170">
        <f t="shared" si="2"/>
        <v>95964.674999999814</v>
      </c>
      <c r="I20" s="185">
        <v>0</v>
      </c>
      <c r="J20" s="170">
        <f t="shared" si="3"/>
        <v>8348926.7249999838</v>
      </c>
    </row>
    <row r="21" spans="1:10" ht="15.75">
      <c r="A21" s="65">
        <v>11</v>
      </c>
      <c r="B21" s="17" t="s">
        <v>343</v>
      </c>
      <c r="C21" s="242">
        <f t="shared" si="4"/>
        <v>2023</v>
      </c>
      <c r="D21" s="14" t="s">
        <v>636</v>
      </c>
      <c r="F21" s="247">
        <f t="shared" si="1"/>
        <v>87</v>
      </c>
      <c r="G21" s="170">
        <f t="shared" si="0"/>
        <v>8348926.7249999838</v>
      </c>
      <c r="H21" s="170">
        <f t="shared" si="2"/>
        <v>95964.674999999814</v>
      </c>
      <c r="I21" s="185">
        <v>0</v>
      </c>
      <c r="J21" s="170">
        <f t="shared" si="3"/>
        <v>8252962.049999984</v>
      </c>
    </row>
    <row r="22" spans="1:10" ht="15.75">
      <c r="A22" s="65">
        <v>12</v>
      </c>
      <c r="B22" s="17" t="s">
        <v>342</v>
      </c>
      <c r="C22" s="242">
        <f t="shared" si="4"/>
        <v>2023</v>
      </c>
      <c r="D22" s="14" t="s">
        <v>636</v>
      </c>
      <c r="F22" s="247">
        <f t="shared" si="1"/>
        <v>86</v>
      </c>
      <c r="G22" s="170">
        <f t="shared" si="0"/>
        <v>8252962.049999984</v>
      </c>
      <c r="H22" s="170">
        <f t="shared" si="2"/>
        <v>95964.674999999814</v>
      </c>
      <c r="I22" s="185">
        <v>0</v>
      </c>
      <c r="J22" s="170">
        <f t="shared" si="3"/>
        <v>8156997.3749999842</v>
      </c>
    </row>
    <row r="23" spans="1:10" s="255" customFormat="1" ht="16.5" thickBot="1">
      <c r="A23" s="248">
        <v>13</v>
      </c>
      <c r="B23" s="249" t="s">
        <v>333</v>
      </c>
      <c r="C23" s="250">
        <f t="shared" si="4"/>
        <v>2023</v>
      </c>
      <c r="D23" s="255" t="s">
        <v>618</v>
      </c>
      <c r="E23" s="251"/>
      <c r="F23" s="252">
        <f t="shared" si="1"/>
        <v>85</v>
      </c>
      <c r="G23" s="253">
        <f>J22</f>
        <v>8156997.3749999842</v>
      </c>
      <c r="H23" s="258">
        <f t="shared" si="2"/>
        <v>95964.674999999814</v>
      </c>
      <c r="I23" s="254">
        <v>0</v>
      </c>
      <c r="J23" s="253">
        <f t="shared" si="3"/>
        <v>8061032.6999999844</v>
      </c>
    </row>
    <row r="24" spans="1:10" s="255" customFormat="1" ht="15.75">
      <c r="A24" s="248">
        <v>14</v>
      </c>
      <c r="B24" s="249"/>
      <c r="C24" s="257"/>
      <c r="E24" s="251"/>
      <c r="F24" s="248"/>
      <c r="G24" s="259" t="s">
        <v>616</v>
      </c>
      <c r="H24" s="253">
        <f>SUM(H12:H23)</f>
        <v>1151576.0999999978</v>
      </c>
      <c r="I24" s="763"/>
      <c r="J24" s="764"/>
    </row>
    <row r="25" spans="1:10" ht="15.75">
      <c r="A25" s="65">
        <v>15</v>
      </c>
      <c r="G25" s="40" t="s">
        <v>617</v>
      </c>
      <c r="I25" s="765"/>
      <c r="J25" s="766"/>
    </row>
    <row r="26" spans="1:9" ht="15.75">
      <c r="A26" s="65">
        <v>16</v>
      </c>
      <c r="F26" s="40" t="s">
        <v>620</v>
      </c>
      <c r="G26" s="40" t="s">
        <v>742</v>
      </c>
      <c r="I26" s="765"/>
    </row>
    <row r="28" spans="1:1" ht="15.75">
      <c r="A28" s="76" t="s">
        <v>298</v>
      </c>
    </row>
    <row r="29" spans="1:11" ht="37.7" customHeight="1">
      <c r="A29" s="74" t="s">
        <v>141</v>
      </c>
      <c r="B29" s="829" t="s">
        <v>843</v>
      </c>
      <c r="C29" s="829"/>
      <c r="D29" s="829"/>
      <c r="E29" s="829"/>
      <c r="F29" s="829"/>
      <c r="G29" s="829"/>
      <c r="H29" s="829"/>
      <c r="I29" s="829"/>
      <c r="J29" s="829"/>
      <c r="K29" s="829"/>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1"/>
  <sheetViews>
    <sheetView view="pageBreakPreview" zoomScale="65" zoomScaleNormal="85" zoomScaleSheetLayoutView="65" workbookViewId="0" topLeftCell="A1">
      <selection pane="topLeft" activeCell="H26" sqref="H26"/>
    </sheetView>
  </sheetViews>
  <sheetFormatPr defaultColWidth="8.88555555555556" defaultRowHeight="15.75"/>
  <cols>
    <col min="1" max="1" width="6" style="14" customWidth="1"/>
    <col min="2" max="2" width="1.44444444444444" style="14" customWidth="1"/>
    <col min="3" max="3" width="67.2222222222222" style="14" bestFit="1" customWidth="1"/>
    <col min="4" max="4" width="12" style="14" customWidth="1"/>
    <col min="5" max="5" width="14.4444444444444" style="14" customWidth="1"/>
    <col min="6" max="6" width="11.8888888888889" style="14" customWidth="1"/>
    <col min="7" max="7" width="16.6666666666667" style="14" customWidth="1"/>
    <col min="8" max="8" width="13.8888888888889" style="14" customWidth="1"/>
    <col min="9" max="9" width="12.8888888888889" style="14" customWidth="1"/>
    <col min="10" max="10" width="16.7777777777778" style="14" customWidth="1"/>
    <col min="11" max="11" width="13.5555555555556" style="14" customWidth="1"/>
    <col min="12" max="12" width="13.5555555555556" style="262" customWidth="1"/>
    <col min="13" max="13" width="15.3333333333333" style="14" customWidth="1"/>
    <col min="14" max="14" width="13.8888888888889" style="14" customWidth="1"/>
    <col min="15" max="15" width="28.8888888888889" style="14" customWidth="1"/>
    <col min="16" max="16384" width="8.88888888888889" style="14"/>
  </cols>
  <sheetData>
    <row r="1" spans="15:15" ht="15.75">
      <c r="O1" s="4" t="s">
        <v>309</v>
      </c>
    </row>
    <row r="2" spans="7:15" ht="15.75">
      <c r="G2" s="47"/>
      <c r="O2" s="4" t="s">
        <v>279</v>
      </c>
    </row>
    <row r="3" spans="15:15" ht="15.75">
      <c r="O3" s="7" t="str">
        <f>'Attachment H-21-A ATSI '!K4</f>
        <v>For the 12 months ended 12/31/2023</v>
      </c>
    </row>
    <row r="5" spans="1:15" ht="15.75">
      <c r="A5" s="827" t="s">
        <v>296</v>
      </c>
      <c r="B5" s="827"/>
      <c r="C5" s="827"/>
      <c r="D5" s="827"/>
      <c r="E5" s="827"/>
      <c r="F5" s="827"/>
      <c r="G5" s="827"/>
      <c r="H5" s="827"/>
      <c r="I5" s="827"/>
      <c r="J5" s="827"/>
      <c r="K5" s="827"/>
      <c r="L5" s="827"/>
      <c r="M5" s="827"/>
      <c r="N5" s="827"/>
      <c r="O5" s="827"/>
    </row>
    <row r="6" spans="1:15" ht="15.75">
      <c r="A6" s="834" t="s">
        <v>313</v>
      </c>
      <c r="B6" s="834"/>
      <c r="C6" s="834"/>
      <c r="D6" s="834"/>
      <c r="E6" s="834"/>
      <c r="F6" s="834"/>
      <c r="G6" s="834"/>
      <c r="H6" s="834"/>
      <c r="I6" s="834"/>
      <c r="J6" s="834"/>
      <c r="K6" s="834"/>
      <c r="L6" s="834"/>
      <c r="M6" s="834"/>
      <c r="N6" s="834"/>
      <c r="O6" s="834"/>
    </row>
    <row r="7" spans="1:13" ht="15.75">
      <c r="A7" s="834"/>
      <c r="B7" s="834"/>
      <c r="C7" s="834"/>
      <c r="D7" s="834"/>
      <c r="E7" s="834"/>
      <c r="F7" s="834"/>
      <c r="G7" s="834"/>
      <c r="H7" s="834"/>
      <c r="I7" s="834"/>
      <c r="J7" s="834"/>
      <c r="K7" s="834"/>
      <c r="L7" s="834"/>
      <c r="M7" s="834"/>
    </row>
    <row r="8" spans="1:13" ht="15.75">
      <c r="A8" s="175"/>
      <c r="C8" s="8"/>
      <c r="D8" s="8"/>
      <c r="F8" s="8"/>
      <c r="H8" s="8"/>
      <c r="I8" s="8"/>
      <c r="J8" s="8"/>
      <c r="K8" s="8"/>
      <c r="L8" s="263"/>
      <c r="M8" s="8"/>
    </row>
    <row r="9" spans="1:13" ht="15.75">
      <c r="A9" s="175"/>
      <c r="C9" s="8"/>
      <c r="D9" s="8"/>
      <c r="E9" s="8"/>
      <c r="F9" s="8"/>
      <c r="G9" s="25"/>
      <c r="H9" s="8"/>
      <c r="I9" s="8"/>
      <c r="J9" s="8"/>
      <c r="K9" s="8"/>
      <c r="L9" s="263"/>
      <c r="M9" s="8"/>
    </row>
    <row r="10" spans="1:13" ht="15.75">
      <c r="A10" s="175"/>
      <c r="D10" s="8"/>
      <c r="E10" s="8"/>
      <c r="F10" s="8"/>
      <c r="G10" s="25"/>
      <c r="H10" s="8"/>
      <c r="I10" s="8"/>
      <c r="J10" s="8"/>
      <c r="K10" s="8"/>
      <c r="L10" s="263"/>
      <c r="M10" s="8"/>
    </row>
    <row r="11" spans="1:13" ht="15.75">
      <c r="A11" s="175"/>
      <c r="C11" s="8"/>
      <c r="D11" s="8"/>
      <c r="E11" s="8"/>
      <c r="F11" s="8"/>
      <c r="G11" s="25"/>
      <c r="M11" s="8"/>
    </row>
    <row r="12" spans="1:13" ht="15.75">
      <c r="A12" s="175"/>
      <c r="C12" s="8"/>
      <c r="D12" s="8"/>
      <c r="E12" s="8"/>
      <c r="F12" s="8"/>
      <c r="G12" s="8"/>
      <c r="M12" s="5"/>
    </row>
    <row r="13" spans="3:9" ht="15.75">
      <c r="C13" s="9" t="s">
        <v>27</v>
      </c>
      <c r="D13" s="9"/>
      <c r="E13" s="9" t="s">
        <v>28</v>
      </c>
      <c r="F13" s="9"/>
      <c r="G13" s="9" t="s">
        <v>29</v>
      </c>
      <c r="I13" s="12" t="s">
        <v>30</v>
      </c>
    </row>
    <row r="14" spans="3:7" ht="15.75">
      <c r="C14" s="27"/>
      <c r="D14" s="27"/>
      <c r="E14" s="26"/>
      <c r="F14" s="26"/>
      <c r="G14" s="10"/>
    </row>
    <row r="15" spans="1:9" ht="15.75">
      <c r="A15" s="175" t="s">
        <v>5</v>
      </c>
      <c r="C15" s="27"/>
      <c r="D15" s="27"/>
      <c r="E15" s="174" t="s">
        <v>278</v>
      </c>
      <c r="F15" s="174"/>
      <c r="G15" s="42" t="s">
        <v>33</v>
      </c>
      <c r="I15" s="42" t="s">
        <v>12</v>
      </c>
    </row>
    <row r="16" spans="1:9" ht="15.75">
      <c r="A16" s="175" t="s">
        <v>7</v>
      </c>
      <c r="C16" s="28"/>
      <c r="D16" s="28"/>
      <c r="E16" s="10"/>
      <c r="F16" s="10"/>
      <c r="G16" s="10"/>
      <c r="I16" s="10"/>
    </row>
    <row r="17" spans="1:9" ht="15.75">
      <c r="A17" s="43"/>
      <c r="C17" s="27"/>
      <c r="D17" s="27"/>
      <c r="E17" s="10"/>
      <c r="F17" s="10"/>
      <c r="G17" s="10"/>
      <c r="I17" s="10"/>
    </row>
    <row r="18" spans="1:7" ht="15.75">
      <c r="A18" s="173">
        <v>1</v>
      </c>
      <c r="C18" s="27" t="s">
        <v>232</v>
      </c>
      <c r="D18" s="27"/>
      <c r="E18" s="173" t="s">
        <v>315</v>
      </c>
      <c r="F18" s="173"/>
      <c r="G18" s="30">
        <f>'Attachment H-21-A ATSI '!I66</f>
        <v>5794396215.1715345</v>
      </c>
    </row>
    <row r="19" spans="1:7" ht="15.75">
      <c r="A19" s="173">
        <v>2</v>
      </c>
      <c r="C19" s="27" t="s">
        <v>233</v>
      </c>
      <c r="D19" s="27"/>
      <c r="E19" s="173" t="s">
        <v>316</v>
      </c>
      <c r="F19" s="173"/>
      <c r="G19" s="30">
        <f>'Attachment H-21-A ATSI '!I82</f>
        <v>4455809828.5200262</v>
      </c>
    </row>
    <row r="20" spans="1:6" ht="15.75">
      <c r="A20" s="173"/>
      <c r="E20" s="173"/>
      <c r="F20" s="173"/>
    </row>
    <row r="21" spans="1:9" ht="15.75">
      <c r="A21" s="173"/>
      <c r="C21" s="27" t="s">
        <v>234</v>
      </c>
      <c r="D21" s="27"/>
      <c r="E21" s="173"/>
      <c r="F21" s="173"/>
      <c r="G21" s="10"/>
      <c r="I21" s="10"/>
    </row>
    <row r="22" spans="1:7" ht="15.75">
      <c r="A22" s="173">
        <v>3</v>
      </c>
      <c r="C22" s="27" t="s">
        <v>235</v>
      </c>
      <c r="D22" s="27"/>
      <c r="E22" s="173" t="s">
        <v>317</v>
      </c>
      <c r="F22" s="173"/>
      <c r="G22" s="30">
        <f>'Attachment H-21-A ATSI '!I146</f>
        <v>178380600.66119069</v>
      </c>
    </row>
    <row r="23" spans="1:9" ht="15.75">
      <c r="A23" s="173">
        <v>4</v>
      </c>
      <c r="C23" s="27" t="s">
        <v>236</v>
      </c>
      <c r="D23" s="27"/>
      <c r="E23" s="173" t="s">
        <v>280</v>
      </c>
      <c r="F23" s="173"/>
      <c r="G23" s="81">
        <f>IF(G22=0,0,G22/G18)</f>
        <v>0.03078501953217053</v>
      </c>
      <c r="I23" s="82">
        <f>G23</f>
        <v>0.03078501953217053</v>
      </c>
    </row>
    <row r="24" spans="1:9" ht="15.75">
      <c r="A24" s="173"/>
      <c r="E24" s="173"/>
      <c r="F24" s="173"/>
      <c r="I24" s="81"/>
    </row>
    <row r="25" spans="1:9" ht="15.75">
      <c r="A25" s="12"/>
      <c r="C25" s="27" t="s">
        <v>237</v>
      </c>
      <c r="D25" s="27"/>
      <c r="E25" s="46"/>
      <c r="F25" s="46"/>
      <c r="G25" s="10"/>
      <c r="I25" s="81"/>
    </row>
    <row r="26" spans="1:9" ht="15.75">
      <c r="A26" s="12" t="s">
        <v>238</v>
      </c>
      <c r="C26" s="27" t="s">
        <v>239</v>
      </c>
      <c r="D26" s="27"/>
      <c r="E26" s="173" t="s">
        <v>314</v>
      </c>
      <c r="F26" s="173"/>
      <c r="G26" s="30">
        <f>'Attachment H-21-A ATSI '!I163</f>
        <v>245778255.14999998</v>
      </c>
      <c r="I26" s="81"/>
    </row>
    <row r="27" spans="1:9" ht="15.75">
      <c r="A27" s="12" t="s">
        <v>240</v>
      </c>
      <c r="C27" s="27" t="s">
        <v>241</v>
      </c>
      <c r="D27" s="27"/>
      <c r="E27" s="173" t="s">
        <v>281</v>
      </c>
      <c r="F27" s="173"/>
      <c r="G27" s="81">
        <f>IF(G26=0,0,G26/G18)</f>
        <v>0.042416542815362876</v>
      </c>
      <c r="I27" s="82">
        <f>G27</f>
        <v>0.042416542815362876</v>
      </c>
    </row>
    <row r="28" spans="1:9" ht="15.75">
      <c r="A28" s="12"/>
      <c r="C28" s="27"/>
      <c r="D28" s="27"/>
      <c r="E28" s="173"/>
      <c r="F28" s="173"/>
      <c r="G28" s="10"/>
      <c r="I28" s="81"/>
    </row>
    <row r="29" spans="1:9" ht="15.75">
      <c r="A29" s="172" t="s">
        <v>242</v>
      </c>
      <c r="B29" s="47"/>
      <c r="C29" s="28" t="s">
        <v>243</v>
      </c>
      <c r="D29" s="28"/>
      <c r="E29" s="26" t="s">
        <v>244</v>
      </c>
      <c r="F29" s="26"/>
      <c r="G29" s="15"/>
      <c r="I29" s="83">
        <f>I23+I27</f>
        <v>0.073201562347533403</v>
      </c>
    </row>
    <row r="30" spans="1:9" ht="15.75">
      <c r="A30" s="12"/>
      <c r="C30" s="27"/>
      <c r="D30" s="27"/>
      <c r="E30" s="173"/>
      <c r="F30" s="173"/>
      <c r="G30" s="10"/>
      <c r="I30" s="81"/>
    </row>
    <row r="31" spans="1:9" ht="15.75">
      <c r="A31" s="12"/>
      <c r="C31" s="10" t="s">
        <v>245</v>
      </c>
      <c r="D31" s="10"/>
      <c r="E31" s="173"/>
      <c r="F31" s="173"/>
      <c r="G31" s="10"/>
      <c r="I31" s="81"/>
    </row>
    <row r="32" spans="1:9" ht="15.75">
      <c r="A32" s="12" t="s">
        <v>246</v>
      </c>
      <c r="C32" s="10" t="s">
        <v>92</v>
      </c>
      <c r="D32" s="10"/>
      <c r="E32" s="173" t="s">
        <v>318</v>
      </c>
      <c r="F32" s="173"/>
      <c r="G32" s="30">
        <f>'Attachment H-21-A ATSI '!I176</f>
        <v>63895054.607483074</v>
      </c>
      <c r="I32" s="81"/>
    </row>
    <row r="33" spans="1:9" ht="15.75">
      <c r="A33" s="12" t="s">
        <v>247</v>
      </c>
      <c r="C33" s="10" t="s">
        <v>248</v>
      </c>
      <c r="D33" s="10"/>
      <c r="E33" s="173" t="s">
        <v>282</v>
      </c>
      <c r="F33" s="173"/>
      <c r="G33" s="81">
        <f>IF(G19=0,0,G32/G19)</f>
        <v>0.014339717597127677</v>
      </c>
      <c r="I33" s="82">
        <f>G33</f>
        <v>0.014339717597127677</v>
      </c>
    </row>
    <row r="34" spans="1:9" ht="15.75">
      <c r="A34" s="12"/>
      <c r="C34" s="10"/>
      <c r="D34" s="10"/>
      <c r="E34" s="173"/>
      <c r="F34" s="173"/>
      <c r="G34" s="10"/>
      <c r="I34" s="81"/>
    </row>
    <row r="35" spans="1:9" ht="15.75">
      <c r="A35" s="12"/>
      <c r="C35" s="27" t="s">
        <v>93</v>
      </c>
      <c r="D35" s="27"/>
      <c r="E35" s="16"/>
      <c r="F35" s="16"/>
      <c r="I35" s="81"/>
    </row>
    <row r="36" spans="1:9" ht="15.75">
      <c r="A36" s="12" t="s">
        <v>249</v>
      </c>
      <c r="C36" s="27" t="s">
        <v>250</v>
      </c>
      <c r="D36" s="27"/>
      <c r="E36" s="173" t="s">
        <v>319</v>
      </c>
      <c r="F36" s="173"/>
      <c r="G36" s="30">
        <f>'Attachment H-21-A ATSI '!I178</f>
        <v>294906175.67189258</v>
      </c>
      <c r="I36" s="81"/>
    </row>
    <row r="37" spans="1:9" ht="15.75">
      <c r="A37" s="12" t="s">
        <v>251</v>
      </c>
      <c r="C37" s="10" t="s">
        <v>252</v>
      </c>
      <c r="D37" s="10"/>
      <c r="E37" s="173" t="s">
        <v>283</v>
      </c>
      <c r="F37" s="173"/>
      <c r="G37" s="82">
        <f>IF(G19=0,0,G36/G19)</f>
        <v>0.066184641405543129</v>
      </c>
      <c r="I37" s="82">
        <f>G37</f>
        <v>0.066184641405543129</v>
      </c>
    </row>
    <row r="38" spans="1:9" ht="15.75">
      <c r="A38" s="12"/>
      <c r="C38" s="27"/>
      <c r="D38" s="27"/>
      <c r="E38" s="173"/>
      <c r="F38" s="173"/>
      <c r="G38" s="10"/>
      <c r="I38" s="81"/>
    </row>
    <row r="39" spans="1:9" ht="15.75">
      <c r="A39" s="172" t="s">
        <v>253</v>
      </c>
      <c r="B39" s="47"/>
      <c r="C39" s="28" t="s">
        <v>254</v>
      </c>
      <c r="D39" s="28"/>
      <c r="E39" s="26" t="s">
        <v>255</v>
      </c>
      <c r="F39" s="26"/>
      <c r="G39" s="15"/>
      <c r="I39" s="83">
        <f>I33+I37</f>
        <v>0.080524359002670812</v>
      </c>
    </row>
    <row r="42" spans="1:7" ht="15.75">
      <c r="A42" s="175"/>
      <c r="G42" s="10"/>
    </row>
    <row r="43" spans="15:15" ht="15.75">
      <c r="O43" s="40" t="str">
        <f>O1</f>
        <v>Attachment  H-21A, Appendix D</v>
      </c>
    </row>
    <row r="44" spans="15:15" ht="15.75">
      <c r="O44" s="40" t="s">
        <v>284</v>
      </c>
    </row>
    <row r="45" spans="15:15" ht="15.75">
      <c r="O45" s="40" t="str">
        <f>O3</f>
        <v>For the 12 months ended 12/31/2023</v>
      </c>
    </row>
    <row r="46" spans="1:7" ht="15.75">
      <c r="A46" s="175"/>
      <c r="G46" s="10"/>
    </row>
    <row r="47" spans="1:4" ht="15.75">
      <c r="A47" s="175"/>
      <c r="C47" s="27"/>
      <c r="D47" s="27"/>
    </row>
    <row r="48" spans="1:13" ht="15.75">
      <c r="A48" s="175"/>
      <c r="C48" s="27"/>
      <c r="D48" s="27"/>
      <c r="M48" s="10"/>
    </row>
    <row r="49" spans="1:1" ht="14.25" customHeight="1">
      <c r="A49" s="175"/>
    </row>
    <row r="50" spans="1:15" ht="15.75">
      <c r="A50" s="832" t="str">
        <f>A5</f>
        <v>Transmission Enhancement Credit</v>
      </c>
      <c r="B50" s="832"/>
      <c r="C50" s="832"/>
      <c r="D50" s="832"/>
      <c r="E50" s="832"/>
      <c r="F50" s="832"/>
      <c r="G50" s="832"/>
      <c r="H50" s="832"/>
      <c r="I50" s="832"/>
      <c r="J50" s="832"/>
      <c r="K50" s="832"/>
      <c r="L50" s="832"/>
      <c r="M50" s="832"/>
      <c r="N50" s="832"/>
      <c r="O50" s="832"/>
    </row>
    <row r="51" spans="1:15" ht="15.75">
      <c r="A51" s="833" t="str">
        <f>A6</f>
        <v>To be completed in conjunction with Attachment H-21A</v>
      </c>
      <c r="B51" s="833"/>
      <c r="C51" s="833"/>
      <c r="D51" s="833"/>
      <c r="E51" s="833"/>
      <c r="F51" s="833"/>
      <c r="G51" s="833"/>
      <c r="H51" s="833"/>
      <c r="I51" s="833"/>
      <c r="J51" s="833"/>
      <c r="K51" s="833"/>
      <c r="L51" s="833"/>
      <c r="M51" s="833"/>
      <c r="N51" s="833"/>
      <c r="O51" s="833"/>
    </row>
    <row r="52" spans="1:13" ht="15.75">
      <c r="A52" s="175"/>
      <c r="E52" s="28"/>
      <c r="H52" s="8"/>
      <c r="I52" s="8"/>
      <c r="J52" s="8"/>
      <c r="K52" s="8"/>
      <c r="L52" s="263"/>
      <c r="M52" s="8"/>
    </row>
    <row r="53" spans="1:13" ht="15.75">
      <c r="A53" s="175"/>
      <c r="E53" s="28"/>
      <c r="F53" s="28"/>
      <c r="H53" s="8"/>
      <c r="I53" s="8"/>
      <c r="J53" s="8"/>
      <c r="K53" s="8"/>
      <c r="L53" s="263"/>
      <c r="M53" s="8"/>
    </row>
    <row r="54" spans="1:14" ht="15.75">
      <c r="A54" s="175"/>
      <c r="C54" s="49">
        <v>-1</v>
      </c>
      <c r="D54" s="49">
        <v>-2</v>
      </c>
      <c r="E54" s="49">
        <v>-3</v>
      </c>
      <c r="F54" s="49">
        <v>-4</v>
      </c>
      <c r="G54" s="49">
        <v>-5</v>
      </c>
      <c r="H54" s="49">
        <v>-6</v>
      </c>
      <c r="I54" s="49">
        <v>-7</v>
      </c>
      <c r="J54" s="49">
        <v>-8</v>
      </c>
      <c r="K54" s="49">
        <v>-9</v>
      </c>
      <c r="L54" s="49">
        <v>-10</v>
      </c>
      <c r="M54" s="571" t="s">
        <v>727</v>
      </c>
      <c r="N54" s="571" t="s">
        <v>728</v>
      </c>
    </row>
    <row r="55" spans="1:14" ht="63">
      <c r="A55" s="50" t="s">
        <v>256</v>
      </c>
      <c r="B55" s="51"/>
      <c r="C55" s="78" t="s">
        <v>257</v>
      </c>
      <c r="D55" s="52" t="s">
        <v>297</v>
      </c>
      <c r="E55" s="53" t="s">
        <v>482</v>
      </c>
      <c r="F55" s="53" t="s">
        <v>243</v>
      </c>
      <c r="G55" s="54" t="s">
        <v>260</v>
      </c>
      <c r="H55" s="53" t="s">
        <v>261</v>
      </c>
      <c r="I55" s="53" t="s">
        <v>254</v>
      </c>
      <c r="J55" s="54" t="s">
        <v>262</v>
      </c>
      <c r="K55" s="53" t="s">
        <v>263</v>
      </c>
      <c r="L55" s="613" t="s">
        <v>637</v>
      </c>
      <c r="M55" s="55" t="s">
        <v>410</v>
      </c>
      <c r="N55" s="55" t="s">
        <v>504</v>
      </c>
    </row>
    <row r="56" spans="1:14" ht="46.5" customHeight="1">
      <c r="A56" s="56"/>
      <c r="B56" s="57"/>
      <c r="C56" s="57"/>
      <c r="D56" s="57"/>
      <c r="E56" s="58" t="s">
        <v>21</v>
      </c>
      <c r="F56" s="58" t="s">
        <v>286</v>
      </c>
      <c r="G56" s="59" t="s">
        <v>265</v>
      </c>
      <c r="H56" s="58" t="s">
        <v>22</v>
      </c>
      <c r="I56" s="58" t="s">
        <v>287</v>
      </c>
      <c r="J56" s="59" t="s">
        <v>266</v>
      </c>
      <c r="K56" s="58" t="s">
        <v>186</v>
      </c>
      <c r="L56" s="176" t="s">
        <v>640</v>
      </c>
      <c r="M56" s="176" t="s">
        <v>581</v>
      </c>
      <c r="N56" s="176" t="s">
        <v>729</v>
      </c>
    </row>
    <row r="57" spans="1:14" ht="15.75">
      <c r="A57" s="61"/>
      <c r="B57" s="8"/>
      <c r="C57" s="8"/>
      <c r="D57" s="8"/>
      <c r="E57" s="8"/>
      <c r="F57" s="8"/>
      <c r="G57" s="62"/>
      <c r="H57" s="8"/>
      <c r="I57" s="8"/>
      <c r="J57" s="62"/>
      <c r="K57" s="8"/>
      <c r="L57" s="266"/>
      <c r="M57" s="62"/>
      <c r="N57" s="62"/>
    </row>
    <row r="58" spans="1:14" ht="15.75">
      <c r="A58" s="576" t="s">
        <v>9</v>
      </c>
      <c r="B58" s="573"/>
      <c r="C58" s="776" t="s">
        <v>848</v>
      </c>
      <c r="D58" s="579" t="s">
        <v>856</v>
      </c>
      <c r="E58" s="120">
        <v>11591749.349999996</v>
      </c>
      <c r="F58" s="82">
        <f>$I$29</f>
        <v>0.073201562347533403</v>
      </c>
      <c r="G58" s="484">
        <f>E58*F58</f>
        <v>848534.16276100453</v>
      </c>
      <c r="H58" s="120">
        <v>9489322.0143272858</v>
      </c>
      <c r="I58" s="82">
        <f>$I$39</f>
        <v>0.080524359002670812</v>
      </c>
      <c r="J58" s="484">
        <f>H58*I58</f>
        <v>764121.57257363771</v>
      </c>
      <c r="K58" s="120">
        <v>298093.42628459999</v>
      </c>
      <c r="L58" s="75">
        <f>G58+J58+K58</f>
        <v>1910749.1616192423</v>
      </c>
      <c r="M58" s="587">
        <f>'Appendix D-True-up'!K18</f>
        <v>134095.42753839467</v>
      </c>
      <c r="N58" s="75">
        <f>L58+M58</f>
        <v>2044844.589157637</v>
      </c>
    </row>
    <row r="59" spans="1:14" ht="15.75">
      <c r="A59" s="576" t="s">
        <v>268</v>
      </c>
      <c r="B59" s="573"/>
      <c r="C59" s="776" t="s">
        <v>849</v>
      </c>
      <c r="D59" s="579" t="s">
        <v>857</v>
      </c>
      <c r="E59" s="120">
        <v>18993935.190000001</v>
      </c>
      <c r="F59" s="82">
        <f>$I$29</f>
        <v>0.073201562347533403</v>
      </c>
      <c r="G59" s="484">
        <f>E59*F59</f>
        <v>1390385.7310357939</v>
      </c>
      <c r="H59" s="120">
        <v>14079451.971273514</v>
      </c>
      <c r="I59" s="82">
        <f>$I$39</f>
        <v>0.080524359002670812</v>
      </c>
      <c r="J59" s="484">
        <f>H59*I59</f>
        <v>1133738.8450956896</v>
      </c>
      <c r="K59" s="120">
        <v>535173.11791343999</v>
      </c>
      <c r="L59" s="75">
        <f>G59+J59+K59</f>
        <v>3059297.6940449234</v>
      </c>
      <c r="M59" s="587">
        <f>'Appendix D-True-up'!K19</f>
        <v>235398.3406566979</v>
      </c>
      <c r="N59" s="75">
        <f>L59+M59</f>
        <v>3294696.0347016212</v>
      </c>
    </row>
    <row r="60" spans="1:14" ht="15.75">
      <c r="A60" s="576" t="s">
        <v>269</v>
      </c>
      <c r="B60" s="573"/>
      <c r="C60" s="776" t="s">
        <v>850</v>
      </c>
      <c r="D60" s="579" t="s">
        <v>858</v>
      </c>
      <c r="E60" s="120">
        <v>38173502.259999998</v>
      </c>
      <c r="F60" s="82">
        <f>$I$29</f>
        <v>0.073201562347533403</v>
      </c>
      <c r="G60" s="484">
        <f>E60*F60</f>
        <v>2794360.0057090973</v>
      </c>
      <c r="H60" s="120">
        <v>30588873.233532928</v>
      </c>
      <c r="I60" s="82">
        <f>$I$39</f>
        <v>0.080524359002670812</v>
      </c>
      <c r="J60" s="484">
        <f>H60*I60</f>
        <v>2463149.4097441933</v>
      </c>
      <c r="K60" s="120">
        <v>909750.90586032008</v>
      </c>
      <c r="L60" s="75">
        <f>G60+J60+K60</f>
        <v>6167260.3213136103</v>
      </c>
      <c r="M60" s="587">
        <f>'Appendix D-True-up'!K20</f>
        <v>619588.92215625779</v>
      </c>
      <c r="N60" s="75">
        <f>L60+M60</f>
        <v>6786849.2434698679</v>
      </c>
    </row>
    <row r="61" spans="1:14" ht="15.75">
      <c r="A61" s="576" t="s">
        <v>717</v>
      </c>
      <c r="B61" s="573"/>
      <c r="C61" s="776" t="s">
        <v>851</v>
      </c>
      <c r="D61" s="579" t="s">
        <v>859</v>
      </c>
      <c r="E61" s="120">
        <v>84546981.399999991</v>
      </c>
      <c r="F61" s="82">
        <f t="shared" si="0" ref="F61:F65">$I$29</f>
        <v>0.073201562347533403</v>
      </c>
      <c r="G61" s="484">
        <f t="shared" si="1" ref="G61:G65">E61*F61</f>
        <v>6188971.1302478462</v>
      </c>
      <c r="H61" s="120">
        <v>72222835.694886968</v>
      </c>
      <c r="I61" s="82">
        <f t="shared" si="2" ref="I61:I65">$I$39</f>
        <v>0.080524359002670812</v>
      </c>
      <c r="J61" s="484">
        <f t="shared" si="3" ref="J61:J65">H61*I61</f>
        <v>5815697.5496859858</v>
      </c>
      <c r="K61" s="120">
        <v>2415676.3525608</v>
      </c>
      <c r="L61" s="75">
        <f t="shared" si="4" ref="L61:L65">G61+J61+K61</f>
        <v>14420345.032494631</v>
      </c>
      <c r="M61" s="587">
        <f>'Appendix D-True-up'!K21</f>
        <v>828299.03850623465</v>
      </c>
      <c r="N61" s="75">
        <f>L61+M61</f>
        <v>15248644.071000865</v>
      </c>
    </row>
    <row r="62" spans="1:14" ht="15.75">
      <c r="A62" s="576" t="s">
        <v>718</v>
      </c>
      <c r="B62" s="573"/>
      <c r="C62" s="776" t="s">
        <v>852</v>
      </c>
      <c r="D62" s="579" t="s">
        <v>860</v>
      </c>
      <c r="E62" s="120">
        <v>10461075.739999998</v>
      </c>
      <c r="F62" s="82">
        <f t="shared" si="0"/>
        <v>0.073201562347533403</v>
      </c>
      <c r="G62" s="484">
        <f t="shared" si="1"/>
        <v>765767.08800387906</v>
      </c>
      <c r="H62" s="120">
        <v>8275583.2882165099</v>
      </c>
      <c r="I62" s="82">
        <f t="shared" si="2"/>
        <v>0.080524359002670812</v>
      </c>
      <c r="J62" s="484">
        <f t="shared" si="3"/>
        <v>666386.03965684923</v>
      </c>
      <c r="K62" s="120">
        <v>319983.38473511999</v>
      </c>
      <c r="L62" s="75">
        <f t="shared" si="4"/>
        <v>1752136.5123958483</v>
      </c>
      <c r="M62" s="587">
        <f>'Appendix D-True-up'!K22</f>
        <v>-1179870.9959205866</v>
      </c>
      <c r="N62" s="75">
        <f>L62+M62</f>
        <v>572265.51647526165</v>
      </c>
    </row>
    <row r="63" spans="1:14" ht="15.75">
      <c r="A63" s="576" t="s">
        <v>719</v>
      </c>
      <c r="B63" s="573"/>
      <c r="C63" s="776" t="s">
        <v>853</v>
      </c>
      <c r="D63" s="579" t="s">
        <v>861</v>
      </c>
      <c r="E63" s="120">
        <v>2764577.4900000012</v>
      </c>
      <c r="F63" s="82">
        <f t="shared" si="0"/>
        <v>0.073201562347533403</v>
      </c>
      <c r="G63" s="484">
        <f t="shared" si="1"/>
        <v>202371.39149882249</v>
      </c>
      <c r="H63" s="120">
        <v>2358808.2107750969</v>
      </c>
      <c r="I63" s="82">
        <f t="shared" si="2"/>
        <v>0.080524359002670812</v>
      </c>
      <c r="J63" s="484">
        <f t="shared" si="3"/>
        <v>189941.51918290151</v>
      </c>
      <c r="K63" s="120">
        <v>56961.354603960004</v>
      </c>
      <c r="L63" s="75">
        <f t="shared" si="4"/>
        <v>449274.26528568397</v>
      </c>
      <c r="M63" s="587">
        <f>'Appendix D-True-up'!K23</f>
        <v>-444510.70811306231</v>
      </c>
      <c r="N63" s="75">
        <f t="shared" si="5" ref="N63:N65">L63+M63</f>
        <v>4763.5571726216585</v>
      </c>
    </row>
    <row r="64" spans="1:14" ht="15.75">
      <c r="A64" s="576" t="s">
        <v>720</v>
      </c>
      <c r="B64" s="573"/>
      <c r="C64" s="776" t="s">
        <v>854</v>
      </c>
      <c r="D64" s="579" t="s">
        <v>862</v>
      </c>
      <c r="E64" s="120">
        <v>6276432.9800000023</v>
      </c>
      <c r="F64" s="82">
        <f t="shared" si="0"/>
        <v>0.073201562347533403</v>
      </c>
      <c r="G64" s="484">
        <f t="shared" si="1"/>
        <v>459444.70010558504</v>
      </c>
      <c r="H64" s="120">
        <v>5315413.3318603402</v>
      </c>
      <c r="I64" s="82">
        <f t="shared" si="2"/>
        <v>0.080524359002670812</v>
      </c>
      <c r="J64" s="484">
        <f t="shared" si="3"/>
        <v>428020.25138230465</v>
      </c>
      <c r="K64" s="120">
        <v>133160.80210368001</v>
      </c>
      <c r="L64" s="75">
        <f t="shared" si="4"/>
        <v>1020625.7535915697</v>
      </c>
      <c r="M64" s="587">
        <f>'Appendix D-True-up'!K24</f>
        <v>-976611.00102737162</v>
      </c>
      <c r="N64" s="75">
        <f t="shared" si="5"/>
        <v>44014.752564198105</v>
      </c>
    </row>
    <row r="65" spans="1:14" ht="15.75">
      <c r="A65" s="576" t="s">
        <v>721</v>
      </c>
      <c r="B65" s="573"/>
      <c r="C65" s="776" t="s">
        <v>855</v>
      </c>
      <c r="D65" s="579" t="s">
        <v>863</v>
      </c>
      <c r="E65" s="120">
        <v>3234568.2700000005</v>
      </c>
      <c r="F65" s="82">
        <f t="shared" si="0"/>
        <v>0.073201562347533403</v>
      </c>
      <c r="G65" s="484">
        <f t="shared" si="1"/>
        <v>236775.45088375828</v>
      </c>
      <c r="H65" s="120">
        <v>2905478.5474592708</v>
      </c>
      <c r="I65" s="82">
        <f t="shared" si="2"/>
        <v>0.080524359002670812</v>
      </c>
      <c r="J65" s="484">
        <f t="shared" si="3"/>
        <v>233961.79763016885</v>
      </c>
      <c r="K65" s="120">
        <v>87022.824736080016</v>
      </c>
      <c r="L65" s="75">
        <f t="shared" si="4"/>
        <v>557760.07325000712</v>
      </c>
      <c r="M65" s="587">
        <f>'Appendix D-True-up'!K25</f>
        <v>-25149.383171473142</v>
      </c>
      <c r="N65" s="75">
        <f t="shared" si="5"/>
        <v>532610.69007853395</v>
      </c>
    </row>
    <row r="66" spans="1:14" ht="15.75">
      <c r="A66" s="64"/>
      <c r="C66" s="66"/>
      <c r="D66" s="66"/>
      <c r="E66" s="66"/>
      <c r="F66" s="66"/>
      <c r="G66" s="67"/>
      <c r="H66" s="66"/>
      <c r="I66" s="66"/>
      <c r="J66" s="67"/>
      <c r="K66" s="66"/>
      <c r="L66" s="67"/>
      <c r="M66" s="67"/>
      <c r="N66" s="67"/>
    </row>
    <row r="67" spans="1:14" ht="15.75">
      <c r="A67" s="64"/>
      <c r="C67" s="66"/>
      <c r="D67" s="66"/>
      <c r="E67" s="66"/>
      <c r="F67" s="66"/>
      <c r="G67" s="67"/>
      <c r="H67" s="66"/>
      <c r="I67" s="66"/>
      <c r="J67" s="67"/>
      <c r="K67" s="66"/>
      <c r="L67" s="67"/>
      <c r="M67" s="67"/>
      <c r="N67" s="67"/>
    </row>
    <row r="68" spans="1:14" ht="15.75">
      <c r="A68" s="64"/>
      <c r="C68" s="66"/>
      <c r="D68" s="66"/>
      <c r="E68" s="66"/>
      <c r="F68" s="66"/>
      <c r="G68" s="67"/>
      <c r="H68" s="66"/>
      <c r="I68" s="66"/>
      <c r="J68" s="67"/>
      <c r="K68" s="66"/>
      <c r="L68" s="67"/>
      <c r="M68" s="67"/>
      <c r="N68" s="67"/>
    </row>
    <row r="69" spans="1:14" ht="15.75">
      <c r="A69" s="64"/>
      <c r="C69" s="66"/>
      <c r="D69" s="66"/>
      <c r="E69" s="66"/>
      <c r="F69" s="66"/>
      <c r="G69" s="67"/>
      <c r="H69" s="66"/>
      <c r="I69" s="66"/>
      <c r="J69" s="67"/>
      <c r="K69" s="66"/>
      <c r="L69" s="67"/>
      <c r="M69" s="67"/>
      <c r="N69" s="67"/>
    </row>
    <row r="70" spans="1:14" ht="15.75">
      <c r="A70" s="64"/>
      <c r="C70" s="66"/>
      <c r="D70" s="66"/>
      <c r="E70" s="66"/>
      <c r="F70" s="66"/>
      <c r="G70" s="67"/>
      <c r="H70" s="66"/>
      <c r="I70" s="66"/>
      <c r="J70" s="67"/>
      <c r="K70" s="66"/>
      <c r="L70" s="67"/>
      <c r="M70" s="67"/>
      <c r="N70" s="67"/>
    </row>
    <row r="71" spans="1:14" ht="15.75">
      <c r="A71" s="64"/>
      <c r="C71" s="66"/>
      <c r="D71" s="66"/>
      <c r="E71" s="66"/>
      <c r="F71" s="66"/>
      <c r="G71" s="67"/>
      <c r="H71" s="66"/>
      <c r="I71" s="66"/>
      <c r="J71" s="67"/>
      <c r="K71" s="66"/>
      <c r="L71" s="67"/>
      <c r="M71" s="67"/>
      <c r="N71" s="67"/>
    </row>
    <row r="72" spans="1:14" ht="15.75">
      <c r="A72" s="64"/>
      <c r="C72" s="66"/>
      <c r="D72" s="66"/>
      <c r="E72" s="66"/>
      <c r="F72" s="66"/>
      <c r="G72" s="67"/>
      <c r="H72" s="66"/>
      <c r="I72" s="66"/>
      <c r="J72" s="67"/>
      <c r="K72" s="66"/>
      <c r="L72" s="67"/>
      <c r="M72" s="67"/>
      <c r="N72" s="67"/>
    </row>
    <row r="73" spans="1:14" ht="15.75">
      <c r="A73" s="64"/>
      <c r="C73" s="66"/>
      <c r="D73" s="66"/>
      <c r="E73" s="66"/>
      <c r="F73" s="66"/>
      <c r="G73" s="67"/>
      <c r="H73" s="66"/>
      <c r="I73" s="66"/>
      <c r="J73" s="67"/>
      <c r="K73" s="66"/>
      <c r="L73" s="67"/>
      <c r="M73" s="67"/>
      <c r="N73" s="67"/>
    </row>
    <row r="74" spans="1:14" ht="15.75">
      <c r="A74" s="68"/>
      <c r="B74" s="69"/>
      <c r="C74" s="70"/>
      <c r="D74" s="70"/>
      <c r="E74" s="70"/>
      <c r="F74" s="70"/>
      <c r="G74" s="71"/>
      <c r="H74" s="70"/>
      <c r="I74" s="70"/>
      <c r="J74" s="71"/>
      <c r="K74" s="70"/>
      <c r="L74" s="71"/>
      <c r="M74" s="71"/>
      <c r="N74" s="71"/>
    </row>
    <row r="75" spans="1:14" ht="15.75">
      <c r="A75" s="12" t="s">
        <v>270</v>
      </c>
      <c r="C75" s="14" t="s">
        <v>320</v>
      </c>
      <c r="D75" s="27"/>
      <c r="E75" s="46"/>
      <c r="F75" s="46"/>
      <c r="G75" s="10"/>
      <c r="H75" s="10"/>
      <c r="I75" s="10"/>
      <c r="J75" s="10"/>
      <c r="K75" s="10"/>
      <c r="L75" s="10">
        <f>SUM(L58:L74)</f>
        <v>29337448.813995518</v>
      </c>
      <c r="M75" s="30"/>
      <c r="N75" s="483"/>
    </row>
    <row r="76" spans="1:13" ht="15.75">
      <c r="A76" s="66"/>
      <c r="B76" s="66"/>
      <c r="C76" s="66"/>
      <c r="D76" s="66"/>
      <c r="E76" s="66"/>
      <c r="F76" s="66"/>
      <c r="G76" s="66"/>
      <c r="H76" s="66"/>
      <c r="I76" s="66"/>
      <c r="J76" s="66"/>
      <c r="K76" s="66"/>
      <c r="L76" s="264"/>
      <c r="M76" s="66"/>
    </row>
    <row r="77" spans="1:13" ht="15.75">
      <c r="A77" s="76" t="s">
        <v>298</v>
      </c>
      <c r="B77" s="66"/>
      <c r="C77" s="66"/>
      <c r="D77" s="66"/>
      <c r="E77" s="66"/>
      <c r="F77" s="66"/>
      <c r="G77" s="66"/>
      <c r="H77" s="66"/>
      <c r="I77" s="66"/>
      <c r="J77" s="66"/>
      <c r="K77" s="66"/>
      <c r="L77" s="264"/>
      <c r="M77" s="66"/>
    </row>
    <row r="78" spans="1:13" ht="15.75">
      <c r="A78" s="46" t="s">
        <v>141</v>
      </c>
      <c r="C78" s="831" t="s">
        <v>321</v>
      </c>
      <c r="D78" s="831"/>
      <c r="E78" s="831"/>
      <c r="F78" s="831"/>
      <c r="G78" s="831"/>
      <c r="H78" s="831"/>
      <c r="I78" s="831"/>
      <c r="J78" s="831"/>
      <c r="K78" s="831"/>
      <c r="L78" s="831"/>
      <c r="M78" s="831"/>
    </row>
    <row r="79" spans="1:13" ht="15.75">
      <c r="A79" s="46" t="s">
        <v>142</v>
      </c>
      <c r="C79" s="831" t="s">
        <v>322</v>
      </c>
      <c r="D79" s="831"/>
      <c r="E79" s="831"/>
      <c r="F79" s="831"/>
      <c r="G79" s="831"/>
      <c r="H79" s="831"/>
      <c r="I79" s="831"/>
      <c r="J79" s="831"/>
      <c r="K79" s="831"/>
      <c r="L79" s="831"/>
      <c r="M79" s="831"/>
    </row>
    <row r="80" spans="1:13" ht="33" customHeight="1">
      <c r="A80" s="74" t="s">
        <v>143</v>
      </c>
      <c r="C80" s="835" t="s">
        <v>302</v>
      </c>
      <c r="D80" s="835"/>
      <c r="E80" s="835"/>
      <c r="F80" s="835"/>
      <c r="G80" s="835"/>
      <c r="H80" s="835"/>
      <c r="I80" s="835"/>
      <c r="J80" s="835"/>
      <c r="K80" s="835"/>
      <c r="L80" s="835"/>
      <c r="M80" s="835"/>
    </row>
    <row r="81" spans="1:13" ht="15.75">
      <c r="A81" s="74" t="s">
        <v>144</v>
      </c>
      <c r="C81" s="835" t="s">
        <v>272</v>
      </c>
      <c r="D81" s="835"/>
      <c r="E81" s="835"/>
      <c r="F81" s="835"/>
      <c r="G81" s="835"/>
      <c r="H81" s="835"/>
      <c r="I81" s="835"/>
      <c r="J81" s="835"/>
      <c r="K81" s="835"/>
      <c r="L81" s="835"/>
      <c r="M81" s="835"/>
    </row>
    <row r="82" spans="1:13" ht="15.75">
      <c r="A82" s="46" t="s">
        <v>145</v>
      </c>
      <c r="C82" s="831" t="s">
        <v>323</v>
      </c>
      <c r="D82" s="831"/>
      <c r="E82" s="831"/>
      <c r="F82" s="831"/>
      <c r="G82" s="831"/>
      <c r="H82" s="831"/>
      <c r="I82" s="831"/>
      <c r="J82" s="831"/>
      <c r="K82" s="831"/>
      <c r="L82" s="831"/>
      <c r="M82" s="831"/>
    </row>
    <row r="83" spans="1:13" s="262" customFormat="1" ht="15.75">
      <c r="A83" s="485" t="s">
        <v>146</v>
      </c>
      <c r="C83" s="830" t="s">
        <v>691</v>
      </c>
      <c r="D83" s="830"/>
      <c r="E83" s="830"/>
      <c r="F83" s="830"/>
      <c r="G83" s="830"/>
      <c r="H83" s="830"/>
      <c r="I83" s="830"/>
      <c r="J83" s="830"/>
      <c r="K83" s="830"/>
      <c r="L83" s="830"/>
      <c r="M83" s="830"/>
    </row>
    <row r="84" spans="1:10" ht="15.75">
      <c r="A84" s="11"/>
      <c r="C84" s="12"/>
      <c r="D84" s="12"/>
      <c r="E84" s="46"/>
      <c r="F84" s="46"/>
      <c r="G84" s="10"/>
      <c r="J84" s="44"/>
    </row>
    <row r="85" spans="1:10" ht="15.75">
      <c r="A85" s="11"/>
      <c r="C85" s="12"/>
      <c r="D85" s="12"/>
      <c r="E85" s="46"/>
      <c r="F85" s="46"/>
      <c r="G85" s="10"/>
      <c r="J85" s="44"/>
    </row>
    <row r="86" spans="3:13" ht="15.75">
      <c r="C86" s="66"/>
      <c r="D86" s="66"/>
      <c r="E86" s="66"/>
      <c r="F86" s="66"/>
      <c r="G86" s="66"/>
      <c r="H86" s="66"/>
      <c r="I86" s="66"/>
      <c r="J86" s="66"/>
      <c r="K86" s="66"/>
      <c r="L86" s="264"/>
      <c r="M86" s="66"/>
    </row>
    <row r="87" spans="3:13" ht="15.75">
      <c r="C87" s="66"/>
      <c r="D87" s="66"/>
      <c r="E87" s="66"/>
      <c r="F87" s="66"/>
      <c r="G87" s="66"/>
      <c r="H87" s="66"/>
      <c r="I87" s="66"/>
      <c r="J87" s="66"/>
      <c r="K87" s="66"/>
      <c r="L87" s="264"/>
      <c r="M87" s="66"/>
    </row>
    <row r="88" spans="3:13" ht="15.75">
      <c r="C88" s="66"/>
      <c r="D88" s="66"/>
      <c r="E88" s="66"/>
      <c r="F88" s="66"/>
      <c r="G88" s="66"/>
      <c r="H88" s="66"/>
      <c r="I88" s="66"/>
      <c r="J88" s="66"/>
      <c r="K88" s="66"/>
      <c r="L88" s="264"/>
      <c r="M88" s="66"/>
    </row>
    <row r="89" spans="3:13" ht="15.75">
      <c r="C89" s="66"/>
      <c r="D89" s="66"/>
      <c r="E89" s="66"/>
      <c r="F89" s="66"/>
      <c r="G89" s="66"/>
      <c r="H89" s="66"/>
      <c r="I89" s="66"/>
      <c r="J89" s="66"/>
      <c r="K89" s="66"/>
      <c r="L89" s="264"/>
      <c r="M89" s="66"/>
    </row>
    <row r="90" spans="3:13" ht="15.75">
      <c r="C90" s="66"/>
      <c r="D90" s="66"/>
      <c r="E90" s="66"/>
      <c r="F90" s="66"/>
      <c r="G90" s="66"/>
      <c r="H90" s="66"/>
      <c r="I90" s="66"/>
      <c r="J90" s="66"/>
      <c r="K90" s="66"/>
      <c r="L90" s="264"/>
      <c r="M90" s="66"/>
    </row>
    <row r="91" spans="3:13" ht="15.75">
      <c r="C91" s="66"/>
      <c r="D91" s="66"/>
      <c r="E91" s="66"/>
      <c r="F91" s="66"/>
      <c r="G91" s="66"/>
      <c r="H91" s="66"/>
      <c r="I91" s="66"/>
      <c r="J91" s="66"/>
      <c r="K91" s="66"/>
      <c r="L91" s="264"/>
      <c r="M91" s="66"/>
    </row>
    <row r="92" spans="3:13" ht="15.75">
      <c r="C92" s="66"/>
      <c r="D92" s="66"/>
      <c r="E92" s="66"/>
      <c r="F92" s="66"/>
      <c r="G92" s="66"/>
      <c r="H92" s="66"/>
      <c r="I92" s="66"/>
      <c r="J92" s="66"/>
      <c r="K92" s="66"/>
      <c r="L92" s="264"/>
      <c r="M92" s="66"/>
    </row>
    <row r="93" spans="3:13" ht="15.75">
      <c r="C93" s="66"/>
      <c r="D93" s="66"/>
      <c r="E93" s="66"/>
      <c r="F93" s="66"/>
      <c r="G93" s="66"/>
      <c r="H93" s="66"/>
      <c r="I93" s="66"/>
      <c r="J93" s="66"/>
      <c r="K93" s="66"/>
      <c r="L93" s="264"/>
      <c r="M93" s="66"/>
    </row>
    <row r="94" spans="3:13" ht="15.75">
      <c r="C94" s="66"/>
      <c r="D94" s="66"/>
      <c r="E94" s="66"/>
      <c r="F94" s="66"/>
      <c r="G94" s="66"/>
      <c r="H94" s="66"/>
      <c r="I94" s="66"/>
      <c r="J94" s="66"/>
      <c r="K94" s="66"/>
      <c r="L94" s="264"/>
      <c r="M94" s="66"/>
    </row>
    <row r="95" spans="3:13" ht="15.75">
      <c r="C95" s="66"/>
      <c r="D95" s="66"/>
      <c r="E95" s="66"/>
      <c r="F95" s="66"/>
      <c r="G95" s="66"/>
      <c r="H95" s="66"/>
      <c r="I95" s="66"/>
      <c r="J95" s="66"/>
      <c r="K95" s="66"/>
      <c r="L95" s="264"/>
      <c r="M95" s="66"/>
    </row>
    <row r="96" spans="3:13" ht="15.75">
      <c r="C96" s="66"/>
      <c r="D96" s="66"/>
      <c r="E96" s="66"/>
      <c r="F96" s="66"/>
      <c r="G96" s="66"/>
      <c r="H96" s="66"/>
      <c r="I96" s="66"/>
      <c r="J96" s="66"/>
      <c r="K96" s="66"/>
      <c r="L96" s="264"/>
      <c r="M96" s="66"/>
    </row>
    <row r="97" spans="3:13" ht="15.75">
      <c r="C97" s="66"/>
      <c r="D97" s="66"/>
      <c r="E97" s="66"/>
      <c r="F97" s="66"/>
      <c r="G97" s="66"/>
      <c r="H97" s="66"/>
      <c r="I97" s="66"/>
      <c r="J97" s="66"/>
      <c r="K97" s="66"/>
      <c r="L97" s="264"/>
      <c r="M97" s="66"/>
    </row>
    <row r="98" spans="3:13" ht="15.75">
      <c r="C98" s="66"/>
      <c r="D98" s="66"/>
      <c r="E98" s="66"/>
      <c r="F98" s="66"/>
      <c r="G98" s="66"/>
      <c r="H98" s="66"/>
      <c r="I98" s="66"/>
      <c r="J98" s="66"/>
      <c r="K98" s="66"/>
      <c r="L98" s="264"/>
      <c r="M98" s="66"/>
    </row>
    <row r="99" spans="3:13" ht="15.75">
      <c r="C99" s="66"/>
      <c r="D99" s="66"/>
      <c r="E99" s="66"/>
      <c r="F99" s="66"/>
      <c r="G99" s="66"/>
      <c r="H99" s="66"/>
      <c r="I99" s="66"/>
      <c r="J99" s="66"/>
      <c r="K99" s="66"/>
      <c r="L99" s="264"/>
      <c r="M99" s="66"/>
    </row>
    <row r="100" spans="3:13" ht="15.75">
      <c r="C100" s="66"/>
      <c r="D100" s="66"/>
      <c r="E100" s="66"/>
      <c r="F100" s="66"/>
      <c r="G100" s="66"/>
      <c r="H100" s="66"/>
      <c r="I100" s="66"/>
      <c r="J100" s="66"/>
      <c r="K100" s="66"/>
      <c r="L100" s="264"/>
      <c r="M100" s="66"/>
    </row>
    <row r="101" spans="3:13" ht="15.75">
      <c r="C101" s="66"/>
      <c r="D101" s="66"/>
      <c r="E101" s="66"/>
      <c r="F101" s="66"/>
      <c r="G101" s="66"/>
      <c r="H101" s="66"/>
      <c r="I101" s="66"/>
      <c r="J101" s="66"/>
      <c r="K101" s="66"/>
      <c r="L101" s="264"/>
      <c r="M101" s="66"/>
    </row>
    <row r="102" spans="3:13" ht="15.75">
      <c r="C102" s="66"/>
      <c r="D102" s="66"/>
      <c r="E102" s="66"/>
      <c r="F102" s="66"/>
      <c r="G102" s="66"/>
      <c r="H102" s="66"/>
      <c r="I102" s="66"/>
      <c r="J102" s="66"/>
      <c r="K102" s="66"/>
      <c r="L102" s="264"/>
      <c r="M102" s="66"/>
    </row>
    <row r="103" spans="3:13" ht="15.75">
      <c r="C103" s="66"/>
      <c r="D103" s="66"/>
      <c r="E103" s="66"/>
      <c r="F103" s="66"/>
      <c r="G103" s="66"/>
      <c r="H103" s="66"/>
      <c r="I103" s="66"/>
      <c r="J103" s="66"/>
      <c r="K103" s="66"/>
      <c r="L103" s="264"/>
      <c r="M103" s="66"/>
    </row>
    <row r="104" spans="3:13" ht="15.75">
      <c r="C104" s="66"/>
      <c r="D104" s="66"/>
      <c r="E104" s="66"/>
      <c r="F104" s="66"/>
      <c r="G104" s="66"/>
      <c r="H104" s="66"/>
      <c r="I104" s="66"/>
      <c r="J104" s="66"/>
      <c r="K104" s="66"/>
      <c r="L104" s="264"/>
      <c r="M104" s="66"/>
    </row>
    <row r="105" spans="3:13" ht="15.75">
      <c r="C105" s="66"/>
      <c r="D105" s="66"/>
      <c r="E105" s="66"/>
      <c r="F105" s="66"/>
      <c r="G105" s="66"/>
      <c r="H105" s="66"/>
      <c r="I105" s="66"/>
      <c r="J105" s="66"/>
      <c r="K105" s="66"/>
      <c r="L105" s="264"/>
      <c r="M105" s="66"/>
    </row>
    <row r="106" spans="3:13" ht="15.75">
      <c r="C106" s="66"/>
      <c r="D106" s="66"/>
      <c r="E106" s="66"/>
      <c r="F106" s="66"/>
      <c r="G106" s="66"/>
      <c r="H106" s="66"/>
      <c r="I106" s="66"/>
      <c r="J106" s="66"/>
      <c r="K106" s="66"/>
      <c r="L106" s="264"/>
      <c r="M106" s="66"/>
    </row>
    <row r="107" spans="3:13" ht="15.75">
      <c r="C107" s="66"/>
      <c r="D107" s="66"/>
      <c r="E107" s="66"/>
      <c r="F107" s="66"/>
      <c r="G107" s="66"/>
      <c r="H107" s="66"/>
      <c r="I107" s="66"/>
      <c r="J107" s="66"/>
      <c r="K107" s="66"/>
      <c r="L107" s="264"/>
      <c r="M107" s="66"/>
    </row>
    <row r="108" spans="3:13" ht="15.75">
      <c r="C108" s="66"/>
      <c r="D108" s="66"/>
      <c r="E108" s="66"/>
      <c r="F108" s="66"/>
      <c r="G108" s="66"/>
      <c r="H108" s="66"/>
      <c r="I108" s="66"/>
      <c r="J108" s="66"/>
      <c r="K108" s="66"/>
      <c r="L108" s="264"/>
      <c r="M108" s="66"/>
    </row>
    <row r="109" spans="3:13" ht="15.75">
      <c r="C109" s="66"/>
      <c r="D109" s="66"/>
      <c r="E109" s="66"/>
      <c r="F109" s="66"/>
      <c r="G109" s="66"/>
      <c r="H109" s="66"/>
      <c r="I109" s="66"/>
      <c r="J109" s="66"/>
      <c r="K109" s="66"/>
      <c r="L109" s="264"/>
      <c r="M109" s="66"/>
    </row>
    <row r="110" spans="3:13" ht="15.75">
      <c r="C110" s="66"/>
      <c r="D110" s="66"/>
      <c r="E110" s="66"/>
      <c r="F110" s="66"/>
      <c r="G110" s="66"/>
      <c r="H110" s="66"/>
      <c r="I110" s="66"/>
      <c r="J110" s="66"/>
      <c r="K110" s="66"/>
      <c r="L110" s="264"/>
      <c r="M110" s="66"/>
    </row>
    <row r="111" spans="3:13" ht="15.75">
      <c r="C111" s="66"/>
      <c r="D111" s="66"/>
      <c r="E111" s="66"/>
      <c r="F111" s="66"/>
      <c r="G111" s="66"/>
      <c r="H111" s="66"/>
      <c r="I111" s="66"/>
      <c r="J111" s="66"/>
      <c r="K111" s="66"/>
      <c r="L111" s="264"/>
      <c r="M111" s="66"/>
    </row>
    <row r="112" spans="3:13" ht="15.75">
      <c r="C112" s="66"/>
      <c r="D112" s="66"/>
      <c r="E112" s="66"/>
      <c r="F112" s="66"/>
      <c r="G112" s="66"/>
      <c r="H112" s="66"/>
      <c r="I112" s="66"/>
      <c r="J112" s="66"/>
      <c r="K112" s="66"/>
      <c r="L112" s="264"/>
      <c r="M112" s="66"/>
    </row>
    <row r="113" spans="3:13" ht="15.75">
      <c r="C113" s="66"/>
      <c r="D113" s="66"/>
      <c r="E113" s="66"/>
      <c r="F113" s="66"/>
      <c r="G113" s="66"/>
      <c r="H113" s="66"/>
      <c r="I113" s="66"/>
      <c r="J113" s="66"/>
      <c r="K113" s="66"/>
      <c r="L113" s="264"/>
      <c r="M113" s="66"/>
    </row>
    <row r="114" spans="3:13" ht="15.75">
      <c r="C114" s="66"/>
      <c r="D114" s="66"/>
      <c r="E114" s="66"/>
      <c r="F114" s="66"/>
      <c r="G114" s="66"/>
      <c r="H114" s="66"/>
      <c r="I114" s="66"/>
      <c r="J114" s="66"/>
      <c r="K114" s="66"/>
      <c r="L114" s="264"/>
      <c r="M114" s="66"/>
    </row>
    <row r="115" spans="3:13" ht="15.75">
      <c r="C115" s="66"/>
      <c r="D115" s="66"/>
      <c r="E115" s="66"/>
      <c r="F115" s="66"/>
      <c r="G115" s="66"/>
      <c r="H115" s="66"/>
      <c r="I115" s="66"/>
      <c r="J115" s="66"/>
      <c r="K115" s="66"/>
      <c r="L115" s="264"/>
      <c r="M115" s="66"/>
    </row>
    <row r="116" spans="3:13" ht="15.75">
      <c r="C116" s="66"/>
      <c r="D116" s="66"/>
      <c r="E116" s="66"/>
      <c r="F116" s="66"/>
      <c r="G116" s="66"/>
      <c r="H116" s="66"/>
      <c r="I116" s="66"/>
      <c r="J116" s="66"/>
      <c r="K116" s="66"/>
      <c r="L116" s="264"/>
      <c r="M116" s="66"/>
    </row>
    <row r="117" spans="3:13" ht="15.75">
      <c r="C117" s="66"/>
      <c r="D117" s="66"/>
      <c r="E117" s="66"/>
      <c r="F117" s="66"/>
      <c r="G117" s="66"/>
      <c r="H117" s="66"/>
      <c r="I117" s="66"/>
      <c r="J117" s="66"/>
      <c r="K117" s="66"/>
      <c r="L117" s="264"/>
      <c r="M117" s="66"/>
    </row>
    <row r="118" spans="3:13" ht="15.75">
      <c r="C118" s="66"/>
      <c r="D118" s="66"/>
      <c r="E118" s="66"/>
      <c r="F118" s="66"/>
      <c r="G118" s="66"/>
      <c r="H118" s="66"/>
      <c r="I118" s="66"/>
      <c r="J118" s="66"/>
      <c r="K118" s="66"/>
      <c r="L118" s="264"/>
      <c r="M118" s="66"/>
    </row>
    <row r="119" spans="3:13" ht="15.75">
      <c r="C119" s="66"/>
      <c r="D119" s="66"/>
      <c r="E119" s="66"/>
      <c r="F119" s="66"/>
      <c r="G119" s="66"/>
      <c r="H119" s="66"/>
      <c r="I119" s="66"/>
      <c r="J119" s="66"/>
      <c r="K119" s="66"/>
      <c r="L119" s="264"/>
      <c r="M119" s="66"/>
    </row>
    <row r="120" spans="3:13" ht="15.75">
      <c r="C120" s="66"/>
      <c r="D120" s="66"/>
      <c r="E120" s="66"/>
      <c r="F120" s="66"/>
      <c r="G120" s="66"/>
      <c r="H120" s="66"/>
      <c r="I120" s="66"/>
      <c r="J120" s="66"/>
      <c r="K120" s="66"/>
      <c r="L120" s="264"/>
      <c r="M120" s="66"/>
    </row>
    <row r="121" spans="3:13" ht="15.75">
      <c r="C121" s="66"/>
      <c r="D121" s="66"/>
      <c r="E121" s="66"/>
      <c r="F121" s="66"/>
      <c r="G121" s="66"/>
      <c r="H121" s="66"/>
      <c r="I121" s="66"/>
      <c r="J121" s="66"/>
      <c r="K121" s="66"/>
      <c r="L121" s="264"/>
      <c r="M121" s="66"/>
    </row>
    <row r="122" spans="3:13" ht="15.75">
      <c r="C122" s="66"/>
      <c r="D122" s="66"/>
      <c r="E122" s="66"/>
      <c r="F122" s="66"/>
      <c r="G122" s="66"/>
      <c r="H122" s="66"/>
      <c r="I122" s="66"/>
      <c r="J122" s="66"/>
      <c r="K122" s="66"/>
      <c r="L122" s="264"/>
      <c r="M122" s="66"/>
    </row>
    <row r="123" spans="3:13" ht="15.75">
      <c r="C123" s="66"/>
      <c r="D123" s="66"/>
      <c r="E123" s="66"/>
      <c r="F123" s="66"/>
      <c r="G123" s="66"/>
      <c r="H123" s="66"/>
      <c r="I123" s="66"/>
      <c r="J123" s="66"/>
      <c r="K123" s="66"/>
      <c r="L123" s="264"/>
      <c r="M123" s="66"/>
    </row>
    <row r="124" spans="3:13" ht="15.75">
      <c r="C124" s="66"/>
      <c r="D124" s="66"/>
      <c r="E124" s="66"/>
      <c r="F124" s="66"/>
      <c r="G124" s="66"/>
      <c r="H124" s="66"/>
      <c r="I124" s="66"/>
      <c r="J124" s="66"/>
      <c r="K124" s="66"/>
      <c r="L124" s="264"/>
      <c r="M124" s="66"/>
    </row>
    <row r="125" spans="3:13" ht="15.75">
      <c r="C125" s="66"/>
      <c r="D125" s="66"/>
      <c r="E125" s="66"/>
      <c r="F125" s="66"/>
      <c r="G125" s="66"/>
      <c r="H125" s="66"/>
      <c r="I125" s="66"/>
      <c r="J125" s="66"/>
      <c r="K125" s="66"/>
      <c r="L125" s="264"/>
      <c r="M125" s="66"/>
    </row>
    <row r="126" spans="3:13" ht="15.75">
      <c r="C126" s="66"/>
      <c r="D126" s="66"/>
      <c r="E126" s="66"/>
      <c r="F126" s="66"/>
      <c r="G126" s="66"/>
      <c r="H126" s="66"/>
      <c r="I126" s="66"/>
      <c r="J126" s="66"/>
      <c r="K126" s="66"/>
      <c r="L126" s="264"/>
      <c r="M126" s="66"/>
    </row>
    <row r="127" spans="3:13" ht="15.75">
      <c r="C127" s="66"/>
      <c r="D127" s="66"/>
      <c r="E127" s="66"/>
      <c r="F127" s="66"/>
      <c r="G127" s="66"/>
      <c r="H127" s="66"/>
      <c r="I127" s="66"/>
      <c r="J127" s="66"/>
      <c r="K127" s="66"/>
      <c r="L127" s="264"/>
      <c r="M127" s="66"/>
    </row>
    <row r="128" spans="3:13" ht="15.75">
      <c r="C128" s="66"/>
      <c r="D128" s="66"/>
      <c r="E128" s="66"/>
      <c r="F128" s="66"/>
      <c r="G128" s="66"/>
      <c r="H128" s="66"/>
      <c r="I128" s="66"/>
      <c r="J128" s="66"/>
      <c r="K128" s="66"/>
      <c r="L128" s="264"/>
      <c r="M128" s="66"/>
    </row>
    <row r="129" spans="3:13" ht="15.75">
      <c r="C129" s="66"/>
      <c r="D129" s="66"/>
      <c r="E129" s="66"/>
      <c r="F129" s="66"/>
      <c r="G129" s="66"/>
      <c r="H129" s="66"/>
      <c r="I129" s="66"/>
      <c r="J129" s="66"/>
      <c r="K129" s="66"/>
      <c r="L129" s="264"/>
      <c r="M129" s="66"/>
    </row>
    <row r="130" spans="3:13" ht="15.75">
      <c r="C130" s="66"/>
      <c r="D130" s="66"/>
      <c r="E130" s="66"/>
      <c r="F130" s="66"/>
      <c r="G130" s="66"/>
      <c r="H130" s="66"/>
      <c r="I130" s="66"/>
      <c r="J130" s="66"/>
      <c r="K130" s="66"/>
      <c r="L130" s="264"/>
      <c r="M130" s="66"/>
    </row>
    <row r="131" spans="3:13" ht="15.75">
      <c r="C131" s="66"/>
      <c r="D131" s="66"/>
      <c r="E131" s="66"/>
      <c r="F131" s="66"/>
      <c r="G131" s="66"/>
      <c r="H131" s="66"/>
      <c r="I131" s="66"/>
      <c r="J131" s="66"/>
      <c r="K131" s="66"/>
      <c r="L131" s="264"/>
      <c r="M131" s="66"/>
    </row>
    <row r="132" spans="3:13" ht="15.75">
      <c r="C132" s="66"/>
      <c r="D132" s="66"/>
      <c r="E132" s="66"/>
      <c r="F132" s="66"/>
      <c r="G132" s="66"/>
      <c r="H132" s="66"/>
      <c r="I132" s="66"/>
      <c r="J132" s="66"/>
      <c r="K132" s="66"/>
      <c r="L132" s="264"/>
      <c r="M132" s="66"/>
    </row>
    <row r="133" spans="3:13" ht="15.75">
      <c r="C133" s="66"/>
      <c r="D133" s="66"/>
      <c r="E133" s="66"/>
      <c r="F133" s="66"/>
      <c r="G133" s="66"/>
      <c r="H133" s="66"/>
      <c r="I133" s="66"/>
      <c r="J133" s="66"/>
      <c r="K133" s="66"/>
      <c r="L133" s="264"/>
      <c r="M133" s="66"/>
    </row>
    <row r="134" spans="3:13" ht="15.75">
      <c r="C134" s="66"/>
      <c r="D134" s="66"/>
      <c r="E134" s="66"/>
      <c r="F134" s="66"/>
      <c r="G134" s="66"/>
      <c r="H134" s="66"/>
      <c r="I134" s="66"/>
      <c r="J134" s="66"/>
      <c r="K134" s="66"/>
      <c r="L134" s="264"/>
      <c r="M134" s="66"/>
    </row>
    <row r="135" spans="3:13" ht="15.75">
      <c r="C135" s="66"/>
      <c r="D135" s="66"/>
      <c r="E135" s="66"/>
      <c r="F135" s="66"/>
      <c r="G135" s="66"/>
      <c r="H135" s="66"/>
      <c r="I135" s="66"/>
      <c r="J135" s="66"/>
      <c r="K135" s="66"/>
      <c r="L135" s="264"/>
      <c r="M135" s="66"/>
    </row>
    <row r="136" spans="3:13" ht="15.75">
      <c r="C136" s="66"/>
      <c r="D136" s="66"/>
      <c r="E136" s="66"/>
      <c r="F136" s="66"/>
      <c r="G136" s="66"/>
      <c r="H136" s="66"/>
      <c r="I136" s="66"/>
      <c r="J136" s="66"/>
      <c r="K136" s="66"/>
      <c r="L136" s="264"/>
      <c r="M136" s="66"/>
    </row>
    <row r="137" spans="3:13" ht="15.75">
      <c r="C137" s="66"/>
      <c r="D137" s="66"/>
      <c r="E137" s="66"/>
      <c r="F137" s="66"/>
      <c r="G137" s="66"/>
      <c r="H137" s="66"/>
      <c r="I137" s="66"/>
      <c r="J137" s="66"/>
      <c r="K137" s="66"/>
      <c r="L137" s="264"/>
      <c r="M137" s="66"/>
    </row>
    <row r="138" spans="3:13" ht="15.75">
      <c r="C138" s="66"/>
      <c r="D138" s="66"/>
      <c r="E138" s="66"/>
      <c r="F138" s="66"/>
      <c r="G138" s="66"/>
      <c r="H138" s="66"/>
      <c r="I138" s="66"/>
      <c r="J138" s="66"/>
      <c r="K138" s="66"/>
      <c r="L138" s="264"/>
      <c r="M138" s="66"/>
    </row>
    <row r="139" spans="3:13" ht="15.75">
      <c r="C139" s="66"/>
      <c r="D139" s="66"/>
      <c r="E139" s="66"/>
      <c r="F139" s="66"/>
      <c r="G139" s="66"/>
      <c r="H139" s="66"/>
      <c r="I139" s="66"/>
      <c r="J139" s="66"/>
      <c r="K139" s="66"/>
      <c r="L139" s="264"/>
      <c r="M139" s="66"/>
    </row>
    <row r="140" spans="3:13" ht="15.75">
      <c r="C140" s="66"/>
      <c r="D140" s="66"/>
      <c r="E140" s="66"/>
      <c r="F140" s="66"/>
      <c r="G140" s="66"/>
      <c r="H140" s="66"/>
      <c r="I140" s="66"/>
      <c r="J140" s="66"/>
      <c r="K140" s="66"/>
      <c r="L140" s="264"/>
      <c r="M140" s="66"/>
    </row>
    <row r="141" spans="3:13" ht="15.75">
      <c r="C141" s="66"/>
      <c r="D141" s="66"/>
      <c r="E141" s="66"/>
      <c r="F141" s="66"/>
      <c r="G141" s="66"/>
      <c r="H141" s="66"/>
      <c r="I141" s="66"/>
      <c r="J141" s="66"/>
      <c r="K141" s="66"/>
      <c r="L141" s="264"/>
      <c r="M141" s="66"/>
    </row>
    <row r="142" spans="3:13" ht="15.75">
      <c r="C142" s="66"/>
      <c r="D142" s="66"/>
      <c r="E142" s="66"/>
      <c r="F142" s="66"/>
      <c r="G142" s="66"/>
      <c r="H142" s="66"/>
      <c r="I142" s="66"/>
      <c r="J142" s="66"/>
      <c r="K142" s="66"/>
      <c r="L142" s="264"/>
      <c r="M142" s="66"/>
    </row>
    <row r="143" spans="3:13" ht="15.75">
      <c r="C143" s="66"/>
      <c r="D143" s="66"/>
      <c r="E143" s="66"/>
      <c r="F143" s="66"/>
      <c r="G143" s="66"/>
      <c r="H143" s="66"/>
      <c r="I143" s="66"/>
      <c r="J143" s="66"/>
      <c r="K143" s="66"/>
      <c r="L143" s="264"/>
      <c r="M143" s="66"/>
    </row>
    <row r="144" spans="3:13" ht="15.75">
      <c r="C144" s="66"/>
      <c r="D144" s="66"/>
      <c r="E144" s="66"/>
      <c r="F144" s="66"/>
      <c r="G144" s="66"/>
      <c r="H144" s="66"/>
      <c r="I144" s="66"/>
      <c r="J144" s="66"/>
      <c r="K144" s="66"/>
      <c r="L144" s="264"/>
      <c r="M144" s="66"/>
    </row>
    <row r="145" spans="3:13" ht="15.75">
      <c r="C145" s="66"/>
      <c r="D145" s="66"/>
      <c r="E145" s="66"/>
      <c r="F145" s="66"/>
      <c r="G145" s="66"/>
      <c r="H145" s="66"/>
      <c r="I145" s="66"/>
      <c r="J145" s="66"/>
      <c r="K145" s="66"/>
      <c r="L145" s="264"/>
      <c r="M145" s="66"/>
    </row>
    <row r="146" spans="3:13" ht="15.75">
      <c r="C146" s="66"/>
      <c r="D146" s="66"/>
      <c r="E146" s="66"/>
      <c r="F146" s="66"/>
      <c r="G146" s="66"/>
      <c r="H146" s="66"/>
      <c r="I146" s="66"/>
      <c r="J146" s="66"/>
      <c r="K146" s="66"/>
      <c r="L146" s="264"/>
      <c r="M146" s="66"/>
    </row>
    <row r="147" spans="3:13" ht="15.75">
      <c r="C147" s="66"/>
      <c r="D147" s="66"/>
      <c r="E147" s="66"/>
      <c r="F147" s="66"/>
      <c r="G147" s="66"/>
      <c r="H147" s="66"/>
      <c r="I147" s="66"/>
      <c r="J147" s="66"/>
      <c r="K147" s="66"/>
      <c r="L147" s="264"/>
      <c r="M147" s="66"/>
    </row>
    <row r="148" spans="3:13" ht="15.75">
      <c r="C148" s="66"/>
      <c r="D148" s="66"/>
      <c r="E148" s="66"/>
      <c r="F148" s="66"/>
      <c r="G148" s="66"/>
      <c r="H148" s="66"/>
      <c r="I148" s="66"/>
      <c r="J148" s="66"/>
      <c r="K148" s="66"/>
      <c r="L148" s="264"/>
      <c r="M148" s="66"/>
    </row>
    <row r="149" spans="3:13" ht="15.75">
      <c r="C149" s="66"/>
      <c r="D149" s="66"/>
      <c r="E149" s="66"/>
      <c r="F149" s="66"/>
      <c r="G149" s="66"/>
      <c r="H149" s="66"/>
      <c r="I149" s="66"/>
      <c r="J149" s="66"/>
      <c r="K149" s="66"/>
      <c r="L149" s="264"/>
      <c r="M149" s="66"/>
    </row>
    <row r="150" spans="3:13" ht="15.75">
      <c r="C150" s="66"/>
      <c r="D150" s="66"/>
      <c r="E150" s="66"/>
      <c r="F150" s="66"/>
      <c r="G150" s="66"/>
      <c r="H150" s="66"/>
      <c r="I150" s="66"/>
      <c r="J150" s="66"/>
      <c r="K150" s="66"/>
      <c r="L150" s="264"/>
      <c r="M150" s="66"/>
    </row>
    <row r="151" spans="3:13" ht="15.75">
      <c r="C151" s="66"/>
      <c r="D151" s="66"/>
      <c r="E151" s="66"/>
      <c r="F151" s="66"/>
      <c r="G151" s="66"/>
      <c r="H151" s="66"/>
      <c r="I151" s="66"/>
      <c r="J151" s="66"/>
      <c r="K151" s="66"/>
      <c r="L151" s="264"/>
      <c r="M151" s="66"/>
    </row>
    <row r="152" spans="3:13" ht="15.75">
      <c r="C152" s="66"/>
      <c r="D152" s="66"/>
      <c r="E152" s="66"/>
      <c r="F152" s="66"/>
      <c r="G152" s="66"/>
      <c r="H152" s="66"/>
      <c r="I152" s="66"/>
      <c r="J152" s="66"/>
      <c r="K152" s="66"/>
      <c r="L152" s="264"/>
      <c r="M152" s="66"/>
    </row>
    <row r="153" spans="3:13" ht="15.75">
      <c r="C153" s="66"/>
      <c r="D153" s="66"/>
      <c r="E153" s="66"/>
      <c r="F153" s="66"/>
      <c r="G153" s="66"/>
      <c r="H153" s="66"/>
      <c r="I153" s="66"/>
      <c r="J153" s="66"/>
      <c r="K153" s="66"/>
      <c r="L153" s="264"/>
      <c r="M153" s="66"/>
    </row>
    <row r="154" spans="3:13" ht="15.75">
      <c r="C154" s="66"/>
      <c r="D154" s="66"/>
      <c r="E154" s="66"/>
      <c r="F154" s="66"/>
      <c r="G154" s="66"/>
      <c r="H154" s="66"/>
      <c r="I154" s="66"/>
      <c r="J154" s="66"/>
      <c r="K154" s="66"/>
      <c r="L154" s="264"/>
      <c r="M154" s="66"/>
    </row>
    <row r="155" spans="3:13" ht="15.75">
      <c r="C155" s="66"/>
      <c r="D155" s="66"/>
      <c r="E155" s="66"/>
      <c r="F155" s="66"/>
      <c r="G155" s="66"/>
      <c r="H155" s="66"/>
      <c r="I155" s="66"/>
      <c r="J155" s="66"/>
      <c r="K155" s="66"/>
      <c r="L155" s="264"/>
      <c r="M155" s="66"/>
    </row>
    <row r="156" spans="3:13" ht="15.75">
      <c r="C156" s="66"/>
      <c r="D156" s="66"/>
      <c r="E156" s="66"/>
      <c r="F156" s="66"/>
      <c r="G156" s="66"/>
      <c r="H156" s="66"/>
      <c r="I156" s="66"/>
      <c r="J156" s="66"/>
      <c r="K156" s="66"/>
      <c r="L156" s="264"/>
      <c r="M156" s="66"/>
    </row>
    <row r="157" spans="3:13" ht="15.75">
      <c r="C157" s="66"/>
      <c r="D157" s="66"/>
      <c r="E157" s="66"/>
      <c r="F157" s="66"/>
      <c r="G157" s="66"/>
      <c r="H157" s="66"/>
      <c r="I157" s="66"/>
      <c r="J157" s="66"/>
      <c r="K157" s="66"/>
      <c r="L157" s="264"/>
      <c r="M157" s="66"/>
    </row>
    <row r="158" spans="3:13" ht="15.75">
      <c r="C158" s="66"/>
      <c r="D158" s="66"/>
      <c r="E158" s="66"/>
      <c r="F158" s="66"/>
      <c r="G158" s="66"/>
      <c r="H158" s="66"/>
      <c r="I158" s="66"/>
      <c r="J158" s="66"/>
      <c r="K158" s="66"/>
      <c r="L158" s="264"/>
      <c r="M158" s="66"/>
    </row>
    <row r="159" spans="3:13" ht="15.75">
      <c r="C159" s="66"/>
      <c r="D159" s="66"/>
      <c r="E159" s="66"/>
      <c r="F159" s="66"/>
      <c r="G159" s="66"/>
      <c r="H159" s="66"/>
      <c r="I159" s="66"/>
      <c r="J159" s="66"/>
      <c r="K159" s="66"/>
      <c r="L159" s="264"/>
      <c r="M159" s="66"/>
    </row>
    <row r="160" spans="3:13" ht="15.75">
      <c r="C160" s="66"/>
      <c r="D160" s="66"/>
      <c r="E160" s="66"/>
      <c r="F160" s="66"/>
      <c r="G160" s="66"/>
      <c r="H160" s="66"/>
      <c r="I160" s="66"/>
      <c r="J160" s="66"/>
      <c r="K160" s="66"/>
      <c r="L160" s="264"/>
      <c r="M160" s="66"/>
    </row>
    <row r="161" spans="3:13" ht="15.75">
      <c r="C161" s="66"/>
      <c r="D161" s="66"/>
      <c r="E161" s="66"/>
      <c r="F161" s="66"/>
      <c r="G161" s="66"/>
      <c r="H161" s="66"/>
      <c r="I161" s="66"/>
      <c r="J161" s="66"/>
      <c r="K161" s="66"/>
      <c r="L161" s="264"/>
      <c r="M161" s="66"/>
    </row>
    <row r="162" spans="3:13" ht="15.75">
      <c r="C162" s="66"/>
      <c r="D162" s="66"/>
      <c r="E162" s="66"/>
      <c r="F162" s="66"/>
      <c r="G162" s="66"/>
      <c r="H162" s="66"/>
      <c r="I162" s="66"/>
      <c r="J162" s="66"/>
      <c r="K162" s="66"/>
      <c r="L162" s="264"/>
      <c r="M162" s="66"/>
    </row>
    <row r="163" spans="3:13" ht="15.75">
      <c r="C163" s="66"/>
      <c r="D163" s="66"/>
      <c r="E163" s="66"/>
      <c r="F163" s="66"/>
      <c r="G163" s="66"/>
      <c r="H163" s="66"/>
      <c r="I163" s="66"/>
      <c r="J163" s="66"/>
      <c r="K163" s="66"/>
      <c r="L163" s="264"/>
      <c r="M163" s="66"/>
    </row>
    <row r="164" spans="3:13" ht="15.75">
      <c r="C164" s="66"/>
      <c r="D164" s="66"/>
      <c r="E164" s="66"/>
      <c r="F164" s="66"/>
      <c r="G164" s="66"/>
      <c r="H164" s="66"/>
      <c r="I164" s="66"/>
      <c r="J164" s="66"/>
      <c r="K164" s="66"/>
      <c r="L164" s="264"/>
      <c r="M164" s="66"/>
    </row>
    <row r="165" spans="3:13" ht="15.75">
      <c r="C165" s="66"/>
      <c r="D165" s="66"/>
      <c r="E165" s="66"/>
      <c r="F165" s="66"/>
      <c r="G165" s="66"/>
      <c r="H165" s="66"/>
      <c r="I165" s="66"/>
      <c r="J165" s="66"/>
      <c r="K165" s="66"/>
      <c r="L165" s="264"/>
      <c r="M165" s="66"/>
    </row>
    <row r="166" spans="3:13" ht="15.75">
      <c r="C166" s="66"/>
      <c r="D166" s="66"/>
      <c r="E166" s="66"/>
      <c r="F166" s="66"/>
      <c r="G166" s="66"/>
      <c r="H166" s="66"/>
      <c r="I166" s="66"/>
      <c r="J166" s="66"/>
      <c r="K166" s="66"/>
      <c r="L166" s="264"/>
      <c r="M166" s="66"/>
    </row>
    <row r="167" spans="3:13" ht="15.75">
      <c r="C167" s="66"/>
      <c r="D167" s="66"/>
      <c r="E167" s="66"/>
      <c r="F167" s="66"/>
      <c r="G167" s="66"/>
      <c r="H167" s="66"/>
      <c r="I167" s="66"/>
      <c r="J167" s="66"/>
      <c r="K167" s="66"/>
      <c r="L167" s="264"/>
      <c r="M167" s="66"/>
    </row>
    <row r="168" spans="3:13" ht="15.75">
      <c r="C168" s="66"/>
      <c r="D168" s="66"/>
      <c r="E168" s="66"/>
      <c r="F168" s="66"/>
      <c r="G168" s="66"/>
      <c r="H168" s="66"/>
      <c r="I168" s="66"/>
      <c r="J168" s="66"/>
      <c r="K168" s="66"/>
      <c r="L168" s="264"/>
      <c r="M168" s="66"/>
    </row>
    <row r="169" spans="3:13" ht="15.75">
      <c r="C169" s="66"/>
      <c r="D169" s="66"/>
      <c r="E169" s="66"/>
      <c r="F169" s="66"/>
      <c r="G169" s="66"/>
      <c r="H169" s="66"/>
      <c r="I169" s="66"/>
      <c r="J169" s="66"/>
      <c r="K169" s="66"/>
      <c r="L169" s="264"/>
      <c r="M169" s="66"/>
    </row>
    <row r="170" spans="3:13" ht="15.75">
      <c r="C170" s="66"/>
      <c r="D170" s="66"/>
      <c r="E170" s="66"/>
      <c r="F170" s="66"/>
      <c r="G170" s="66"/>
      <c r="H170" s="66"/>
      <c r="I170" s="66"/>
      <c r="J170" s="66"/>
      <c r="K170" s="66"/>
      <c r="L170" s="264"/>
      <c r="M170" s="66"/>
    </row>
    <row r="171" spans="3:13" ht="15.75">
      <c r="C171" s="66"/>
      <c r="D171" s="66"/>
      <c r="E171" s="66"/>
      <c r="F171" s="66"/>
      <c r="G171" s="66"/>
      <c r="H171" s="66"/>
      <c r="I171" s="66"/>
      <c r="J171" s="66"/>
      <c r="K171" s="66"/>
      <c r="L171" s="264"/>
      <c r="M171" s="66"/>
    </row>
    <row r="172" spans="3:13" ht="15.75">
      <c r="C172" s="66"/>
      <c r="D172" s="66"/>
      <c r="E172" s="66"/>
      <c r="F172" s="66"/>
      <c r="G172" s="66"/>
      <c r="H172" s="66"/>
      <c r="I172" s="66"/>
      <c r="J172" s="66"/>
      <c r="K172" s="66"/>
      <c r="L172" s="264"/>
      <c r="M172" s="66"/>
    </row>
    <row r="173" spans="3:13" ht="15.75">
      <c r="C173" s="66"/>
      <c r="D173" s="66"/>
      <c r="E173" s="66"/>
      <c r="F173" s="66"/>
      <c r="G173" s="66"/>
      <c r="H173" s="66"/>
      <c r="I173" s="66"/>
      <c r="J173" s="66"/>
      <c r="K173" s="66"/>
      <c r="L173" s="264"/>
      <c r="M173" s="66"/>
    </row>
    <row r="174" spans="3:13" ht="15.75">
      <c r="C174" s="66"/>
      <c r="D174" s="66"/>
      <c r="E174" s="66"/>
      <c r="F174" s="66"/>
      <c r="G174" s="66"/>
      <c r="H174" s="66"/>
      <c r="I174" s="66"/>
      <c r="J174" s="66"/>
      <c r="K174" s="66"/>
      <c r="L174" s="264"/>
      <c r="M174" s="66"/>
    </row>
    <row r="175" spans="3:13" ht="15.75">
      <c r="C175" s="66"/>
      <c r="D175" s="66"/>
      <c r="E175" s="66"/>
      <c r="F175" s="66"/>
      <c r="G175" s="66"/>
      <c r="H175" s="66"/>
      <c r="I175" s="66"/>
      <c r="J175" s="66"/>
      <c r="K175" s="66"/>
      <c r="L175" s="264"/>
      <c r="M175" s="66"/>
    </row>
    <row r="176" spans="3:13" ht="15.75">
      <c r="C176" s="66"/>
      <c r="D176" s="66"/>
      <c r="E176" s="66"/>
      <c r="F176" s="66"/>
      <c r="G176" s="66"/>
      <c r="H176" s="66"/>
      <c r="I176" s="66"/>
      <c r="J176" s="66"/>
      <c r="K176" s="66"/>
      <c r="L176" s="264"/>
      <c r="M176" s="66"/>
    </row>
    <row r="177" spans="3:13" ht="15.75">
      <c r="C177" s="66"/>
      <c r="D177" s="66"/>
      <c r="E177" s="66"/>
      <c r="F177" s="66"/>
      <c r="G177" s="66"/>
      <c r="H177" s="66"/>
      <c r="I177" s="66"/>
      <c r="J177" s="66"/>
      <c r="K177" s="66"/>
      <c r="L177" s="264"/>
      <c r="M177" s="66"/>
    </row>
    <row r="178" spans="3:13" ht="15.75">
      <c r="C178" s="66"/>
      <c r="D178" s="66"/>
      <c r="E178" s="66"/>
      <c r="F178" s="66"/>
      <c r="G178" s="66"/>
      <c r="H178" s="66"/>
      <c r="I178" s="66"/>
      <c r="J178" s="66"/>
      <c r="K178" s="66"/>
      <c r="L178" s="264"/>
      <c r="M178" s="66"/>
    </row>
    <row r="179" spans="3:13" ht="15.75">
      <c r="C179" s="66"/>
      <c r="D179" s="66"/>
      <c r="E179" s="66"/>
      <c r="F179" s="66"/>
      <c r="G179" s="66"/>
      <c r="H179" s="66"/>
      <c r="I179" s="66"/>
      <c r="J179" s="66"/>
      <c r="K179" s="66"/>
      <c r="L179" s="264"/>
      <c r="M179" s="66"/>
    </row>
    <row r="180" spans="3:13" ht="15.75">
      <c r="C180" s="66"/>
      <c r="D180" s="66"/>
      <c r="E180" s="66"/>
      <c r="F180" s="66"/>
      <c r="G180" s="66"/>
      <c r="H180" s="66"/>
      <c r="I180" s="66"/>
      <c r="J180" s="66"/>
      <c r="K180" s="66"/>
      <c r="L180" s="264"/>
      <c r="M180" s="66"/>
    </row>
    <row r="181" spans="3:13" ht="15.75">
      <c r="C181" s="66"/>
      <c r="D181" s="66"/>
      <c r="E181" s="66"/>
      <c r="F181" s="66"/>
      <c r="G181" s="66"/>
      <c r="H181" s="66"/>
      <c r="I181" s="66"/>
      <c r="J181" s="66"/>
      <c r="K181" s="66"/>
      <c r="L181" s="264"/>
      <c r="M181" s="66"/>
    </row>
    <row r="182" spans="3:13" ht="15.75">
      <c r="C182" s="66"/>
      <c r="D182" s="66"/>
      <c r="E182" s="66"/>
      <c r="F182" s="66"/>
      <c r="G182" s="66"/>
      <c r="H182" s="66"/>
      <c r="I182" s="66"/>
      <c r="J182" s="66"/>
      <c r="K182" s="66"/>
      <c r="L182" s="264"/>
      <c r="M182" s="66"/>
    </row>
    <row r="183" spans="3:13" ht="15.75">
      <c r="C183" s="66"/>
      <c r="D183" s="66"/>
      <c r="E183" s="66"/>
      <c r="F183" s="66"/>
      <c r="G183" s="66"/>
      <c r="H183" s="66"/>
      <c r="I183" s="66"/>
      <c r="J183" s="66"/>
      <c r="K183" s="66"/>
      <c r="L183" s="264"/>
      <c r="M183" s="66"/>
    </row>
    <row r="184" spans="3:13" ht="15.75">
      <c r="C184" s="66"/>
      <c r="D184" s="66"/>
      <c r="E184" s="66"/>
      <c r="F184" s="66"/>
      <c r="G184" s="66"/>
      <c r="H184" s="66"/>
      <c r="I184" s="66"/>
      <c r="J184" s="66"/>
      <c r="K184" s="66"/>
      <c r="L184" s="264"/>
      <c r="M184" s="66"/>
    </row>
    <row r="185" spans="3:13" ht="15.75">
      <c r="C185" s="66"/>
      <c r="D185" s="66"/>
      <c r="E185" s="66"/>
      <c r="F185" s="66"/>
      <c r="G185" s="66"/>
      <c r="H185" s="66"/>
      <c r="I185" s="66"/>
      <c r="J185" s="66"/>
      <c r="K185" s="66"/>
      <c r="L185" s="264"/>
      <c r="M185" s="66"/>
    </row>
    <row r="186" spans="3:13" ht="15.75">
      <c r="C186" s="66"/>
      <c r="D186" s="66"/>
      <c r="E186" s="66"/>
      <c r="F186" s="66"/>
      <c r="G186" s="66"/>
      <c r="H186" s="66"/>
      <c r="I186" s="66"/>
      <c r="J186" s="66"/>
      <c r="K186" s="66"/>
      <c r="L186" s="264"/>
      <c r="M186" s="66"/>
    </row>
    <row r="187" spans="3:13" ht="15.75">
      <c r="C187" s="66"/>
      <c r="D187" s="66"/>
      <c r="E187" s="66"/>
      <c r="F187" s="66"/>
      <c r="G187" s="66"/>
      <c r="H187" s="66"/>
      <c r="I187" s="66"/>
      <c r="J187" s="66"/>
      <c r="K187" s="66"/>
      <c r="L187" s="264"/>
      <c r="M187" s="66"/>
    </row>
    <row r="188" spans="3:13" ht="15.75">
      <c r="C188" s="66"/>
      <c r="D188" s="66"/>
      <c r="E188" s="66"/>
      <c r="F188" s="66"/>
      <c r="G188" s="66"/>
      <c r="H188" s="66"/>
      <c r="I188" s="66"/>
      <c r="J188" s="66"/>
      <c r="K188" s="66"/>
      <c r="L188" s="264"/>
      <c r="M188" s="66"/>
    </row>
    <row r="189" spans="3:13" ht="15.75">
      <c r="C189" s="66"/>
      <c r="D189" s="66"/>
      <c r="E189" s="66"/>
      <c r="F189" s="66"/>
      <c r="G189" s="66"/>
      <c r="H189" s="66"/>
      <c r="I189" s="66"/>
      <c r="J189" s="66"/>
      <c r="K189" s="66"/>
      <c r="L189" s="264"/>
      <c r="M189" s="66"/>
    </row>
    <row r="190" spans="3:13" ht="15.75">
      <c r="C190" s="66"/>
      <c r="D190" s="66"/>
      <c r="E190" s="66"/>
      <c r="F190" s="66"/>
      <c r="G190" s="66"/>
      <c r="H190" s="66"/>
      <c r="I190" s="66"/>
      <c r="J190" s="66"/>
      <c r="K190" s="66"/>
      <c r="L190" s="264"/>
      <c r="M190" s="66"/>
    </row>
    <row r="191" spans="3:13" ht="15.75">
      <c r="C191" s="66"/>
      <c r="D191" s="66"/>
      <c r="E191" s="66"/>
      <c r="F191" s="66"/>
      <c r="G191" s="66"/>
      <c r="H191" s="66"/>
      <c r="I191" s="66"/>
      <c r="J191" s="66"/>
      <c r="K191" s="66"/>
      <c r="L191" s="264"/>
      <c r="M191" s="66"/>
    </row>
    <row r="192" spans="3:13" ht="15.75">
      <c r="C192" s="66"/>
      <c r="D192" s="66"/>
      <c r="E192" s="66"/>
      <c r="F192" s="66"/>
      <c r="G192" s="66"/>
      <c r="H192" s="66"/>
      <c r="I192" s="66"/>
      <c r="J192" s="66"/>
      <c r="K192" s="66"/>
      <c r="L192" s="264"/>
      <c r="M192" s="66"/>
    </row>
    <row r="193" spans="3:13" ht="15.75">
      <c r="C193" s="66"/>
      <c r="D193" s="66"/>
      <c r="E193" s="66"/>
      <c r="F193" s="66"/>
      <c r="G193" s="66"/>
      <c r="H193" s="66"/>
      <c r="I193" s="66"/>
      <c r="J193" s="66"/>
      <c r="K193" s="66"/>
      <c r="L193" s="264"/>
      <c r="M193" s="66"/>
    </row>
    <row r="194" spans="3:13" ht="15.75">
      <c r="C194" s="66"/>
      <c r="D194" s="66"/>
      <c r="E194" s="66"/>
      <c r="F194" s="66"/>
      <c r="G194" s="66"/>
      <c r="H194" s="66"/>
      <c r="I194" s="66"/>
      <c r="J194" s="66"/>
      <c r="K194" s="66"/>
      <c r="L194" s="264"/>
      <c r="M194" s="66"/>
    </row>
    <row r="195" spans="3:13" ht="15.75">
      <c r="C195" s="66"/>
      <c r="D195" s="66"/>
      <c r="E195" s="66"/>
      <c r="F195" s="66"/>
      <c r="G195" s="66"/>
      <c r="H195" s="66"/>
      <c r="I195" s="66"/>
      <c r="J195" s="66"/>
      <c r="K195" s="66"/>
      <c r="L195" s="264"/>
      <c r="M195" s="66"/>
    </row>
    <row r="196" spans="3:13" ht="15.75">
      <c r="C196" s="66"/>
      <c r="D196" s="66"/>
      <c r="E196" s="66"/>
      <c r="F196" s="66"/>
      <c r="G196" s="66"/>
      <c r="H196" s="66"/>
      <c r="I196" s="66"/>
      <c r="J196" s="66"/>
      <c r="K196" s="66"/>
      <c r="L196" s="264"/>
      <c r="M196" s="66"/>
    </row>
    <row r="197" spans="3:13" ht="15.75">
      <c r="C197" s="66"/>
      <c r="D197" s="66"/>
      <c r="E197" s="66"/>
      <c r="F197" s="66"/>
      <c r="G197" s="66"/>
      <c r="H197" s="66"/>
      <c r="I197" s="66"/>
      <c r="J197" s="66"/>
      <c r="K197" s="66"/>
      <c r="L197" s="264"/>
      <c r="M197" s="66"/>
    </row>
    <row r="198" spans="3:13" ht="15.75">
      <c r="C198" s="66"/>
      <c r="D198" s="66"/>
      <c r="E198" s="66"/>
      <c r="F198" s="66"/>
      <c r="G198" s="66"/>
      <c r="H198" s="66"/>
      <c r="I198" s="66"/>
      <c r="J198" s="66"/>
      <c r="K198" s="66"/>
      <c r="L198" s="264"/>
      <c r="M198" s="66"/>
    </row>
    <row r="199" spans="3:13" ht="15.75">
      <c r="C199" s="66"/>
      <c r="D199" s="66"/>
      <c r="E199" s="66"/>
      <c r="F199" s="66"/>
      <c r="G199" s="66"/>
      <c r="H199" s="66"/>
      <c r="I199" s="66"/>
      <c r="J199" s="66"/>
      <c r="K199" s="66"/>
      <c r="L199" s="264"/>
      <c r="M199" s="66"/>
    </row>
    <row r="200" spans="3:13" ht="15.75">
      <c r="C200" s="66"/>
      <c r="D200" s="66"/>
      <c r="E200" s="66"/>
      <c r="F200" s="66"/>
      <c r="G200" s="66"/>
      <c r="H200" s="66"/>
      <c r="I200" s="66"/>
      <c r="J200" s="66"/>
      <c r="K200" s="66"/>
      <c r="L200" s="264"/>
      <c r="M200" s="66"/>
    </row>
    <row r="201" spans="3:13" ht="15.75">
      <c r="C201" s="66"/>
      <c r="D201" s="66"/>
      <c r="E201" s="66"/>
      <c r="F201" s="66"/>
      <c r="G201" s="66"/>
      <c r="H201" s="66"/>
      <c r="I201" s="66"/>
      <c r="J201" s="66"/>
      <c r="K201" s="66"/>
      <c r="L201" s="264"/>
      <c r="M201" s="66"/>
    </row>
    <row r="202" spans="3:13" ht="15.75">
      <c r="C202" s="66"/>
      <c r="D202" s="66"/>
      <c r="E202" s="66"/>
      <c r="F202" s="66"/>
      <c r="G202" s="66"/>
      <c r="H202" s="66"/>
      <c r="I202" s="66"/>
      <c r="J202" s="66"/>
      <c r="K202" s="66"/>
      <c r="L202" s="264"/>
      <c r="M202" s="66"/>
    </row>
    <row r="203" spans="3:13" ht="15.75">
      <c r="C203" s="66"/>
      <c r="D203" s="66"/>
      <c r="E203" s="66"/>
      <c r="F203" s="66"/>
      <c r="G203" s="66"/>
      <c r="H203" s="66"/>
      <c r="I203" s="66"/>
      <c r="J203" s="66"/>
      <c r="K203" s="66"/>
      <c r="L203" s="264"/>
      <c r="M203" s="66"/>
    </row>
    <row r="204" spans="3:13" ht="15.75">
      <c r="C204" s="66"/>
      <c r="D204" s="66"/>
      <c r="E204" s="66"/>
      <c r="F204" s="66"/>
      <c r="G204" s="66"/>
      <c r="H204" s="66"/>
      <c r="I204" s="66"/>
      <c r="J204" s="66"/>
      <c r="K204" s="66"/>
      <c r="L204" s="264"/>
      <c r="M204" s="66"/>
    </row>
    <row r="205" spans="3:13" ht="15.75">
      <c r="C205" s="66"/>
      <c r="D205" s="66"/>
      <c r="E205" s="66"/>
      <c r="F205" s="66"/>
      <c r="G205" s="66"/>
      <c r="H205" s="66"/>
      <c r="I205" s="66"/>
      <c r="J205" s="66"/>
      <c r="K205" s="66"/>
      <c r="L205" s="264"/>
      <c r="M205" s="66"/>
    </row>
    <row r="206" spans="3:13" ht="15.75">
      <c r="C206" s="66"/>
      <c r="D206" s="66"/>
      <c r="E206" s="66"/>
      <c r="F206" s="66"/>
      <c r="G206" s="66"/>
      <c r="H206" s="66"/>
      <c r="I206" s="66"/>
      <c r="J206" s="66"/>
      <c r="K206" s="66"/>
      <c r="L206" s="264"/>
      <c r="M206" s="66"/>
    </row>
    <row r="207" spans="3:13" ht="15.75">
      <c r="C207" s="66"/>
      <c r="D207" s="66"/>
      <c r="E207" s="66"/>
      <c r="F207" s="66"/>
      <c r="G207" s="66"/>
      <c r="H207" s="66"/>
      <c r="I207" s="66"/>
      <c r="J207" s="66"/>
      <c r="K207" s="66"/>
      <c r="L207" s="264"/>
      <c r="M207" s="66"/>
    </row>
    <row r="208" spans="3:13" ht="15.75">
      <c r="C208" s="66"/>
      <c r="D208" s="66"/>
      <c r="E208" s="66"/>
      <c r="F208" s="66"/>
      <c r="G208" s="66"/>
      <c r="H208" s="66"/>
      <c r="I208" s="66"/>
      <c r="J208" s="66"/>
      <c r="K208" s="66"/>
      <c r="L208" s="264"/>
      <c r="M208" s="66"/>
    </row>
    <row r="209" spans="3:13" ht="15.75">
      <c r="C209" s="66"/>
      <c r="D209" s="66"/>
      <c r="E209" s="66"/>
      <c r="F209" s="66"/>
      <c r="G209" s="66"/>
      <c r="H209" s="66"/>
      <c r="I209" s="66"/>
      <c r="J209" s="66"/>
      <c r="K209" s="66"/>
      <c r="L209" s="264"/>
      <c r="M209" s="66"/>
    </row>
    <row r="210" spans="3:13" ht="15.75">
      <c r="C210" s="66"/>
      <c r="D210" s="66"/>
      <c r="E210" s="66"/>
      <c r="F210" s="66"/>
      <c r="G210" s="66"/>
      <c r="H210" s="66"/>
      <c r="I210" s="66"/>
      <c r="J210" s="66"/>
      <c r="K210" s="66"/>
      <c r="L210" s="264"/>
      <c r="M210" s="66"/>
    </row>
    <row r="211" spans="3:13" ht="15.75">
      <c r="C211" s="66"/>
      <c r="D211" s="66"/>
      <c r="E211" s="66"/>
      <c r="F211" s="66"/>
      <c r="G211" s="66"/>
      <c r="H211" s="66"/>
      <c r="I211" s="66"/>
      <c r="J211" s="66"/>
      <c r="K211" s="66"/>
      <c r="L211" s="264"/>
      <c r="M211" s="66"/>
    </row>
    <row r="212" spans="3:13" ht="15.75">
      <c r="C212" s="66"/>
      <c r="D212" s="66"/>
      <c r="E212" s="66"/>
      <c r="F212" s="66"/>
      <c r="G212" s="66"/>
      <c r="H212" s="66"/>
      <c r="I212" s="66"/>
      <c r="J212" s="66"/>
      <c r="K212" s="66"/>
      <c r="L212" s="264"/>
      <c r="M212" s="66"/>
    </row>
    <row r="213" spans="3:13" ht="15.75">
      <c r="C213" s="66"/>
      <c r="D213" s="66"/>
      <c r="E213" s="66"/>
      <c r="F213" s="66"/>
      <c r="G213" s="66"/>
      <c r="H213" s="66"/>
      <c r="I213" s="66"/>
      <c r="J213" s="66"/>
      <c r="K213" s="66"/>
      <c r="L213" s="264"/>
      <c r="M213" s="66"/>
    </row>
    <row r="214" spans="3:13" ht="15.75">
      <c r="C214" s="66"/>
      <c r="D214" s="66"/>
      <c r="E214" s="66"/>
      <c r="F214" s="66"/>
      <c r="G214" s="66"/>
      <c r="H214" s="66"/>
      <c r="I214" s="66"/>
      <c r="J214" s="66"/>
      <c r="K214" s="66"/>
      <c r="L214" s="264"/>
      <c r="M214" s="66"/>
    </row>
    <row r="215" spans="3:13" ht="15.75">
      <c r="C215" s="66"/>
      <c r="D215" s="66"/>
      <c r="E215" s="66"/>
      <c r="F215" s="66"/>
      <c r="G215" s="66"/>
      <c r="H215" s="66"/>
      <c r="I215" s="66"/>
      <c r="J215" s="66"/>
      <c r="K215" s="66"/>
      <c r="L215" s="264"/>
      <c r="M215" s="66"/>
    </row>
    <row r="216" spans="3:13" ht="15.75">
      <c r="C216" s="66"/>
      <c r="D216" s="66"/>
      <c r="E216" s="66"/>
      <c r="F216" s="66"/>
      <c r="G216" s="66"/>
      <c r="H216" s="66"/>
      <c r="I216" s="66"/>
      <c r="J216" s="66"/>
      <c r="K216" s="66"/>
      <c r="L216" s="264"/>
      <c r="M216" s="66"/>
    </row>
    <row r="217" spans="3:13" ht="15.75">
      <c r="C217" s="66"/>
      <c r="D217" s="66"/>
      <c r="E217" s="66"/>
      <c r="F217" s="66"/>
      <c r="G217" s="66"/>
      <c r="H217" s="66"/>
      <c r="I217" s="66"/>
      <c r="J217" s="66"/>
      <c r="K217" s="66"/>
      <c r="L217" s="264"/>
      <c r="M217" s="66"/>
    </row>
    <row r="218" spans="3:13" ht="15.75">
      <c r="C218" s="66"/>
      <c r="D218" s="66"/>
      <c r="E218" s="66"/>
      <c r="F218" s="66"/>
      <c r="G218" s="66"/>
      <c r="H218" s="66"/>
      <c r="I218" s="66"/>
      <c r="J218" s="66"/>
      <c r="K218" s="66"/>
      <c r="L218" s="264"/>
      <c r="M218" s="66"/>
    </row>
    <row r="219" spans="3:13" ht="15.75">
      <c r="C219" s="66"/>
      <c r="D219" s="66"/>
      <c r="E219" s="66"/>
      <c r="F219" s="66"/>
      <c r="G219" s="66"/>
      <c r="H219" s="66"/>
      <c r="I219" s="66"/>
      <c r="J219" s="66"/>
      <c r="K219" s="66"/>
      <c r="L219" s="264"/>
      <c r="M219" s="66"/>
    </row>
    <row r="220" spans="3:13" ht="15.75">
      <c r="C220" s="66"/>
      <c r="D220" s="66"/>
      <c r="E220" s="66"/>
      <c r="F220" s="66"/>
      <c r="G220" s="66"/>
      <c r="H220" s="66"/>
      <c r="I220" s="66"/>
      <c r="J220" s="66"/>
      <c r="K220" s="66"/>
      <c r="L220" s="264"/>
      <c r="M220" s="66"/>
    </row>
    <row r="221" spans="3:13" ht="15.75">
      <c r="C221" s="66"/>
      <c r="D221" s="66"/>
      <c r="E221" s="66"/>
      <c r="F221" s="66"/>
      <c r="G221" s="66"/>
      <c r="H221" s="66"/>
      <c r="I221" s="66"/>
      <c r="J221" s="66"/>
      <c r="K221" s="66"/>
      <c r="L221" s="264"/>
      <c r="M221" s="66"/>
    </row>
    <row r="222" spans="3:13" ht="15.75">
      <c r="C222" s="66"/>
      <c r="D222" s="66"/>
      <c r="E222" s="66"/>
      <c r="F222" s="66"/>
      <c r="G222" s="66"/>
      <c r="H222" s="66"/>
      <c r="I222" s="66"/>
      <c r="J222" s="66"/>
      <c r="K222" s="66"/>
      <c r="L222" s="264"/>
      <c r="M222" s="66"/>
    </row>
    <row r="223" spans="3:13" ht="15.75">
      <c r="C223" s="66"/>
      <c r="D223" s="66"/>
      <c r="E223" s="66"/>
      <c r="F223" s="66"/>
      <c r="G223" s="66"/>
      <c r="H223" s="66"/>
      <c r="I223" s="66"/>
      <c r="J223" s="66"/>
      <c r="K223" s="66"/>
      <c r="L223" s="264"/>
      <c r="M223" s="66"/>
    </row>
    <row r="224" spans="3:13" ht="15.75">
      <c r="C224" s="66"/>
      <c r="D224" s="66"/>
      <c r="E224" s="66"/>
      <c r="F224" s="66"/>
      <c r="G224" s="66"/>
      <c r="H224" s="66"/>
      <c r="I224" s="66"/>
      <c r="J224" s="66"/>
      <c r="K224" s="66"/>
      <c r="L224" s="264"/>
      <c r="M224" s="66"/>
    </row>
    <row r="225" spans="3:13" ht="15.75">
      <c r="C225" s="66"/>
      <c r="D225" s="66"/>
      <c r="E225" s="66"/>
      <c r="F225" s="66"/>
      <c r="G225" s="66"/>
      <c r="H225" s="66"/>
      <c r="I225" s="66"/>
      <c r="J225" s="66"/>
      <c r="K225" s="66"/>
      <c r="L225" s="264"/>
      <c r="M225" s="66"/>
    </row>
    <row r="226" spans="3:13" ht="15.75">
      <c r="C226" s="66"/>
      <c r="D226" s="66"/>
      <c r="E226" s="66"/>
      <c r="F226" s="66"/>
      <c r="G226" s="66"/>
      <c r="H226" s="66"/>
      <c r="I226" s="66"/>
      <c r="J226" s="66"/>
      <c r="K226" s="66"/>
      <c r="L226" s="264"/>
      <c r="M226" s="66"/>
    </row>
    <row r="227" spans="3:13" ht="15.75">
      <c r="C227" s="66"/>
      <c r="D227" s="66"/>
      <c r="E227" s="66"/>
      <c r="F227" s="66"/>
      <c r="G227" s="66"/>
      <c r="H227" s="66"/>
      <c r="I227" s="66"/>
      <c r="J227" s="66"/>
      <c r="K227" s="66"/>
      <c r="L227" s="264"/>
      <c r="M227" s="66"/>
    </row>
    <row r="228" spans="3:13" ht="15.75">
      <c r="C228" s="66"/>
      <c r="D228" s="66"/>
      <c r="E228" s="66"/>
      <c r="F228" s="66"/>
      <c r="G228" s="66"/>
      <c r="H228" s="66"/>
      <c r="I228" s="66"/>
      <c r="J228" s="66"/>
      <c r="K228" s="66"/>
      <c r="L228" s="264"/>
      <c r="M228" s="66"/>
    </row>
    <row r="229" spans="3:13" ht="15.75">
      <c r="C229" s="66"/>
      <c r="D229" s="66"/>
      <c r="E229" s="66"/>
      <c r="F229" s="66"/>
      <c r="G229" s="66"/>
      <c r="H229" s="66"/>
      <c r="I229" s="66"/>
      <c r="J229" s="66"/>
      <c r="K229" s="66"/>
      <c r="L229" s="264"/>
      <c r="M229" s="66"/>
    </row>
    <row r="230" spans="3:13" ht="15.75">
      <c r="C230" s="66"/>
      <c r="D230" s="66"/>
      <c r="E230" s="66"/>
      <c r="F230" s="66"/>
      <c r="G230" s="66"/>
      <c r="H230" s="66"/>
      <c r="I230" s="66"/>
      <c r="J230" s="66"/>
      <c r="K230" s="66"/>
      <c r="L230" s="264"/>
      <c r="M230" s="66"/>
    </row>
    <row r="231" spans="3:13" ht="15.75">
      <c r="C231" s="66"/>
      <c r="D231" s="66"/>
      <c r="E231" s="66"/>
      <c r="F231" s="66"/>
      <c r="G231" s="66"/>
      <c r="H231" s="66"/>
      <c r="I231" s="66"/>
      <c r="J231" s="66"/>
      <c r="K231" s="66"/>
      <c r="L231" s="264"/>
      <c r="M231" s="66"/>
    </row>
    <row r="232" spans="3:13" ht="15.75">
      <c r="C232" s="66"/>
      <c r="D232" s="66"/>
      <c r="E232" s="66"/>
      <c r="F232" s="66"/>
      <c r="G232" s="66"/>
      <c r="H232" s="66"/>
      <c r="I232" s="66"/>
      <c r="J232" s="66"/>
      <c r="K232" s="66"/>
      <c r="L232" s="264"/>
      <c r="M232" s="66"/>
    </row>
    <row r="233" spans="3:13" ht="15.75">
      <c r="C233" s="66"/>
      <c r="D233" s="66"/>
      <c r="E233" s="66"/>
      <c r="F233" s="66"/>
      <c r="G233" s="66"/>
      <c r="H233" s="66"/>
      <c r="I233" s="66"/>
      <c r="J233" s="66"/>
      <c r="K233" s="66"/>
      <c r="L233" s="264"/>
      <c r="M233" s="66"/>
    </row>
    <row r="234" spans="3:13" ht="15.75">
      <c r="C234" s="66"/>
      <c r="D234" s="66"/>
      <c r="E234" s="66"/>
      <c r="F234" s="66"/>
      <c r="G234" s="66"/>
      <c r="H234" s="66"/>
      <c r="I234" s="66"/>
      <c r="J234" s="66"/>
      <c r="K234" s="66"/>
      <c r="L234" s="264"/>
      <c r="M234" s="66"/>
    </row>
    <row r="235" spans="3:13" ht="15.75">
      <c r="C235" s="66"/>
      <c r="D235" s="66"/>
      <c r="E235" s="66"/>
      <c r="F235" s="66"/>
      <c r="G235" s="66"/>
      <c r="H235" s="66"/>
      <c r="I235" s="66"/>
      <c r="J235" s="66"/>
      <c r="K235" s="66"/>
      <c r="L235" s="264"/>
      <c r="M235" s="66"/>
    </row>
    <row r="236" spans="3:13" ht="15.75">
      <c r="C236" s="66"/>
      <c r="D236" s="66"/>
      <c r="E236" s="66"/>
      <c r="F236" s="66"/>
      <c r="G236" s="66"/>
      <c r="H236" s="66"/>
      <c r="I236" s="66"/>
      <c r="J236" s="66"/>
      <c r="K236" s="66"/>
      <c r="L236" s="264"/>
      <c r="M236" s="66"/>
    </row>
    <row r="237" spans="3:13" ht="15.75">
      <c r="C237" s="66"/>
      <c r="D237" s="66"/>
      <c r="E237" s="66"/>
      <c r="F237" s="66"/>
      <c r="G237" s="66"/>
      <c r="H237" s="66"/>
      <c r="I237" s="66"/>
      <c r="J237" s="66"/>
      <c r="K237" s="66"/>
      <c r="L237" s="264"/>
      <c r="M237" s="66"/>
    </row>
    <row r="238" spans="3:13" ht="15.75">
      <c r="C238" s="66"/>
      <c r="D238" s="66"/>
      <c r="E238" s="66"/>
      <c r="F238" s="66"/>
      <c r="G238" s="66"/>
      <c r="H238" s="66"/>
      <c r="I238" s="66"/>
      <c r="J238" s="66"/>
      <c r="K238" s="66"/>
      <c r="L238" s="264"/>
      <c r="M238" s="66"/>
    </row>
    <row r="239" spans="3:13" ht="15.75">
      <c r="C239" s="66"/>
      <c r="D239" s="66"/>
      <c r="E239" s="66"/>
      <c r="F239" s="66"/>
      <c r="G239" s="66"/>
      <c r="H239" s="66"/>
      <c r="I239" s="66"/>
      <c r="J239" s="66"/>
      <c r="K239" s="66"/>
      <c r="L239" s="264"/>
      <c r="M239" s="66"/>
    </row>
    <row r="240" spans="3:13" ht="15.75">
      <c r="C240" s="66"/>
      <c r="D240" s="66"/>
      <c r="E240" s="66"/>
      <c r="F240" s="66"/>
      <c r="G240" s="66"/>
      <c r="H240" s="66"/>
      <c r="I240" s="66"/>
      <c r="J240" s="66"/>
      <c r="K240" s="66"/>
      <c r="L240" s="264"/>
      <c r="M240" s="66"/>
    </row>
    <row r="241" spans="3:13" ht="15.75">
      <c r="C241" s="66"/>
      <c r="D241" s="66"/>
      <c r="E241" s="66"/>
      <c r="F241" s="66"/>
      <c r="G241" s="66"/>
      <c r="H241" s="66"/>
      <c r="I241" s="66"/>
      <c r="J241" s="66"/>
      <c r="K241" s="66"/>
      <c r="L241" s="264"/>
      <c r="M241" s="66"/>
    </row>
    <row r="242" spans="3:13" ht="15.75">
      <c r="C242" s="66"/>
      <c r="D242" s="66"/>
      <c r="E242" s="66"/>
      <c r="F242" s="66"/>
      <c r="G242" s="66"/>
      <c r="H242" s="66"/>
      <c r="I242" s="66"/>
      <c r="J242" s="66"/>
      <c r="K242" s="66"/>
      <c r="L242" s="264"/>
      <c r="M242" s="66"/>
    </row>
    <row r="243" spans="3:13" ht="15.75">
      <c r="C243" s="66"/>
      <c r="D243" s="66"/>
      <c r="E243" s="66"/>
      <c r="F243" s="66"/>
      <c r="G243" s="66"/>
      <c r="H243" s="66"/>
      <c r="I243" s="66"/>
      <c r="J243" s="66"/>
      <c r="K243" s="66"/>
      <c r="L243" s="264"/>
      <c r="M243" s="66"/>
    </row>
    <row r="244" spans="3:13" ht="15.75">
      <c r="C244" s="66"/>
      <c r="D244" s="66"/>
      <c r="E244" s="66"/>
      <c r="F244" s="66"/>
      <c r="G244" s="66"/>
      <c r="H244" s="66"/>
      <c r="I244" s="66"/>
      <c r="J244" s="66"/>
      <c r="K244" s="66"/>
      <c r="L244" s="264"/>
      <c r="M244" s="66"/>
    </row>
    <row r="245" spans="3:13" ht="15.75">
      <c r="C245" s="66"/>
      <c r="D245" s="66"/>
      <c r="E245" s="66"/>
      <c r="F245" s="66"/>
      <c r="G245" s="66"/>
      <c r="H245" s="66"/>
      <c r="I245" s="66"/>
      <c r="J245" s="66"/>
      <c r="K245" s="66"/>
      <c r="L245" s="264"/>
      <c r="M245" s="66"/>
    </row>
    <row r="246" spans="3:13" ht="15.75">
      <c r="C246" s="66"/>
      <c r="D246" s="66"/>
      <c r="E246" s="66"/>
      <c r="F246" s="66"/>
      <c r="G246" s="66"/>
      <c r="H246" s="66"/>
      <c r="I246" s="66"/>
      <c r="J246" s="66"/>
      <c r="K246" s="66"/>
      <c r="L246" s="264"/>
      <c r="M246" s="66"/>
    </row>
    <row r="247" spans="3:13" ht="15.75">
      <c r="C247" s="66"/>
      <c r="D247" s="66"/>
      <c r="E247" s="66"/>
      <c r="F247" s="66"/>
      <c r="G247" s="66"/>
      <c r="H247" s="66"/>
      <c r="I247" s="66"/>
      <c r="J247" s="66"/>
      <c r="K247" s="66"/>
      <c r="L247" s="264"/>
      <c r="M247" s="66"/>
    </row>
    <row r="248" spans="3:13" ht="15.75">
      <c r="C248" s="66"/>
      <c r="D248" s="66"/>
      <c r="E248" s="66"/>
      <c r="F248" s="66"/>
      <c r="G248" s="66"/>
      <c r="H248" s="66"/>
      <c r="I248" s="66"/>
      <c r="J248" s="66"/>
      <c r="K248" s="66"/>
      <c r="L248" s="264"/>
      <c r="M248" s="66"/>
    </row>
    <row r="249" spans="3:13" ht="15.75">
      <c r="C249" s="66"/>
      <c r="D249" s="66"/>
      <c r="E249" s="66"/>
      <c r="F249" s="66"/>
      <c r="G249" s="66"/>
      <c r="H249" s="66"/>
      <c r="I249" s="66"/>
      <c r="J249" s="66"/>
      <c r="K249" s="66"/>
      <c r="L249" s="264"/>
      <c r="M249" s="66"/>
    </row>
    <row r="250" spans="3:13" ht="15.75">
      <c r="C250" s="66"/>
      <c r="D250" s="66"/>
      <c r="E250" s="66"/>
      <c r="F250" s="66"/>
      <c r="G250" s="66"/>
      <c r="H250" s="66"/>
      <c r="I250" s="66"/>
      <c r="J250" s="66"/>
      <c r="K250" s="66"/>
      <c r="L250" s="264"/>
      <c r="M250" s="66"/>
    </row>
    <row r="251" spans="3:13" ht="15.75">
      <c r="C251" s="66"/>
      <c r="D251" s="66"/>
      <c r="E251" s="66"/>
      <c r="F251" s="66"/>
      <c r="G251" s="66"/>
      <c r="H251" s="66"/>
      <c r="I251" s="66"/>
      <c r="J251" s="66"/>
      <c r="K251" s="66"/>
      <c r="L251" s="264"/>
      <c r="M251" s="66"/>
    </row>
    <row r="252" spans="3:13" ht="15.75">
      <c r="C252" s="66"/>
      <c r="D252" s="66"/>
      <c r="E252" s="66"/>
      <c r="F252" s="66"/>
      <c r="G252" s="66"/>
      <c r="H252" s="66"/>
      <c r="I252" s="66"/>
      <c r="J252" s="66"/>
      <c r="K252" s="66"/>
      <c r="L252" s="264"/>
      <c r="M252" s="66"/>
    </row>
    <row r="253" spans="3:13" ht="15.75">
      <c r="C253" s="66"/>
      <c r="D253" s="66"/>
      <c r="E253" s="66"/>
      <c r="F253" s="66"/>
      <c r="G253" s="66"/>
      <c r="H253" s="66"/>
      <c r="I253" s="66"/>
      <c r="J253" s="66"/>
      <c r="K253" s="66"/>
      <c r="L253" s="264"/>
      <c r="M253" s="66"/>
    </row>
    <row r="254" spans="3:13" ht="15.75">
      <c r="C254" s="66"/>
      <c r="D254" s="66"/>
      <c r="E254" s="66"/>
      <c r="F254" s="66"/>
      <c r="G254" s="66"/>
      <c r="H254" s="66"/>
      <c r="I254" s="66"/>
      <c r="J254" s="66"/>
      <c r="K254" s="66"/>
      <c r="L254" s="264"/>
      <c r="M254" s="66"/>
    </row>
    <row r="255" spans="3:13" ht="15.75">
      <c r="C255" s="66"/>
      <c r="D255" s="66"/>
      <c r="E255" s="66"/>
      <c r="F255" s="66"/>
      <c r="G255" s="66"/>
      <c r="H255" s="66"/>
      <c r="I255" s="66"/>
      <c r="J255" s="66"/>
      <c r="K255" s="66"/>
      <c r="L255" s="264"/>
      <c r="M255" s="66"/>
    </row>
    <row r="256" spans="3:13" ht="15.75">
      <c r="C256" s="66"/>
      <c r="D256" s="66"/>
      <c r="E256" s="66"/>
      <c r="F256" s="66"/>
      <c r="G256" s="66"/>
      <c r="H256" s="66"/>
      <c r="I256" s="66"/>
      <c r="J256" s="66"/>
      <c r="K256" s="66"/>
      <c r="L256" s="264"/>
      <c r="M256" s="66"/>
    </row>
    <row r="257" spans="3:13" ht="15.75">
      <c r="C257" s="66"/>
      <c r="D257" s="66"/>
      <c r="E257" s="66"/>
      <c r="F257" s="66"/>
      <c r="G257" s="66"/>
      <c r="H257" s="66"/>
      <c r="I257" s="66"/>
      <c r="J257" s="66"/>
      <c r="K257" s="66"/>
      <c r="L257" s="264"/>
      <c r="M257" s="66"/>
    </row>
    <row r="258" spans="3:13" ht="15.75">
      <c r="C258" s="66"/>
      <c r="D258" s="66"/>
      <c r="E258" s="66"/>
      <c r="F258" s="66"/>
      <c r="G258" s="66"/>
      <c r="H258" s="66"/>
      <c r="I258" s="66"/>
      <c r="J258" s="66"/>
      <c r="K258" s="66"/>
      <c r="L258" s="264"/>
      <c r="M258" s="66"/>
    </row>
    <row r="259" spans="3:13" ht="15.75">
      <c r="C259" s="66"/>
      <c r="D259" s="66"/>
      <c r="E259" s="66"/>
      <c r="F259" s="66"/>
      <c r="G259" s="66"/>
      <c r="H259" s="66"/>
      <c r="I259" s="66"/>
      <c r="J259" s="66"/>
      <c r="K259" s="66"/>
      <c r="L259" s="264"/>
      <c r="M259" s="66"/>
    </row>
    <row r="260" spans="3:13" ht="15.75">
      <c r="C260" s="66"/>
      <c r="D260" s="66"/>
      <c r="E260" s="66"/>
      <c r="F260" s="66"/>
      <c r="G260" s="66"/>
      <c r="H260" s="66"/>
      <c r="I260" s="66"/>
      <c r="J260" s="66"/>
      <c r="K260" s="66"/>
      <c r="L260" s="264"/>
      <c r="M260" s="66"/>
    </row>
    <row r="261" spans="3:13" ht="15.75">
      <c r="C261" s="66"/>
      <c r="D261" s="66"/>
      <c r="E261" s="66"/>
      <c r="F261" s="66"/>
      <c r="G261" s="66"/>
      <c r="H261" s="66"/>
      <c r="I261" s="66"/>
      <c r="J261" s="66"/>
      <c r="K261" s="66"/>
      <c r="L261" s="264"/>
      <c r="M261" s="66"/>
    </row>
    <row r="262" spans="3:13" ht="15.75">
      <c r="C262" s="66"/>
      <c r="D262" s="66"/>
      <c r="E262" s="66"/>
      <c r="F262" s="66"/>
      <c r="G262" s="66"/>
      <c r="H262" s="66"/>
      <c r="I262" s="66"/>
      <c r="J262" s="66"/>
      <c r="K262" s="66"/>
      <c r="L262" s="264"/>
      <c r="M262" s="66"/>
    </row>
    <row r="263" spans="3:13" ht="15.75">
      <c r="C263" s="66"/>
      <c r="D263" s="66"/>
      <c r="E263" s="66"/>
      <c r="F263" s="66"/>
      <c r="G263" s="66"/>
      <c r="H263" s="66"/>
      <c r="I263" s="66"/>
      <c r="J263" s="66"/>
      <c r="K263" s="66"/>
      <c r="L263" s="264"/>
      <c r="M263" s="66"/>
    </row>
    <row r="264" spans="3:13" ht="15.75">
      <c r="C264" s="66"/>
      <c r="D264" s="66"/>
      <c r="E264" s="66"/>
      <c r="F264" s="66"/>
      <c r="G264" s="66"/>
      <c r="H264" s="66"/>
      <c r="I264" s="66"/>
      <c r="J264" s="66"/>
      <c r="K264" s="66"/>
      <c r="L264" s="264"/>
      <c r="M264" s="66"/>
    </row>
    <row r="265" spans="3:13" ht="15.75">
      <c r="C265" s="66"/>
      <c r="D265" s="66"/>
      <c r="E265" s="66"/>
      <c r="F265" s="66"/>
      <c r="G265" s="66"/>
      <c r="H265" s="66"/>
      <c r="I265" s="66"/>
      <c r="J265" s="66"/>
      <c r="K265" s="66"/>
      <c r="L265" s="264"/>
      <c r="M265" s="66"/>
    </row>
    <row r="266" spans="3:13" ht="15.75">
      <c r="C266" s="66"/>
      <c r="D266" s="66"/>
      <c r="E266" s="66"/>
      <c r="F266" s="66"/>
      <c r="G266" s="66"/>
      <c r="H266" s="66"/>
      <c r="I266" s="66"/>
      <c r="J266" s="66"/>
      <c r="K266" s="66"/>
      <c r="L266" s="264"/>
      <c r="M266" s="66"/>
    </row>
    <row r="267" spans="3:13" ht="15.75">
      <c r="C267" s="66"/>
      <c r="D267" s="66"/>
      <c r="E267" s="66"/>
      <c r="F267" s="66"/>
      <c r="G267" s="66"/>
      <c r="H267" s="66"/>
      <c r="I267" s="66"/>
      <c r="J267" s="66"/>
      <c r="K267" s="66"/>
      <c r="L267" s="264"/>
      <c r="M267" s="66"/>
    </row>
    <row r="268" spans="3:13" ht="15.75">
      <c r="C268" s="66"/>
      <c r="D268" s="66"/>
      <c r="E268" s="66"/>
      <c r="F268" s="66"/>
      <c r="G268" s="66"/>
      <c r="H268" s="66"/>
      <c r="I268" s="66"/>
      <c r="J268" s="66"/>
      <c r="K268" s="66"/>
      <c r="L268" s="264"/>
      <c r="M268" s="66"/>
    </row>
    <row r="269" spans="3:13" ht="15.75">
      <c r="C269" s="66"/>
      <c r="D269" s="66"/>
      <c r="E269" s="66"/>
      <c r="F269" s="66"/>
      <c r="G269" s="66"/>
      <c r="H269" s="66"/>
      <c r="I269" s="66"/>
      <c r="J269" s="66"/>
      <c r="K269" s="66"/>
      <c r="L269" s="264"/>
      <c r="M269" s="66"/>
    </row>
    <row r="270" spans="3:13" ht="15.75">
      <c r="C270" s="66"/>
      <c r="D270" s="66"/>
      <c r="E270" s="66"/>
      <c r="F270" s="66"/>
      <c r="G270" s="66"/>
      <c r="H270" s="66"/>
      <c r="I270" s="66"/>
      <c r="J270" s="66"/>
      <c r="K270" s="66"/>
      <c r="L270" s="264"/>
      <c r="M270" s="66"/>
    </row>
    <row r="271" spans="3:13" ht="15.75">
      <c r="C271" s="66"/>
      <c r="D271" s="66"/>
      <c r="E271" s="66"/>
      <c r="F271" s="66"/>
      <c r="G271" s="66"/>
      <c r="H271" s="66"/>
      <c r="I271" s="66"/>
      <c r="J271" s="66"/>
      <c r="K271" s="66"/>
      <c r="L271" s="264"/>
      <c r="M271" s="66"/>
    </row>
    <row r="272" spans="3:13" ht="15.75">
      <c r="C272" s="66"/>
      <c r="D272" s="66"/>
      <c r="E272" s="66"/>
      <c r="F272" s="66"/>
      <c r="G272" s="66"/>
      <c r="H272" s="66"/>
      <c r="I272" s="66"/>
      <c r="J272" s="66"/>
      <c r="K272" s="66"/>
      <c r="L272" s="264"/>
      <c r="M272" s="66"/>
    </row>
    <row r="273" spans="3:13" ht="15.75">
      <c r="C273" s="66"/>
      <c r="D273" s="66"/>
      <c r="E273" s="66"/>
      <c r="F273" s="66"/>
      <c r="G273" s="66"/>
      <c r="H273" s="66"/>
      <c r="I273" s="66"/>
      <c r="J273" s="66"/>
      <c r="K273" s="66"/>
      <c r="L273" s="264"/>
      <c r="M273" s="66"/>
    </row>
    <row r="274" spans="3:13" ht="15.75">
      <c r="C274" s="66"/>
      <c r="D274" s="66"/>
      <c r="E274" s="66"/>
      <c r="F274" s="66"/>
      <c r="G274" s="66"/>
      <c r="H274" s="66"/>
      <c r="I274" s="66"/>
      <c r="J274" s="66"/>
      <c r="K274" s="66"/>
      <c r="L274" s="264"/>
      <c r="M274" s="66"/>
    </row>
    <row r="275" spans="3:13" ht="15.75">
      <c r="C275" s="66"/>
      <c r="D275" s="66"/>
      <c r="E275" s="66"/>
      <c r="F275" s="66"/>
      <c r="G275" s="66"/>
      <c r="H275" s="66"/>
      <c r="I275" s="66"/>
      <c r="J275" s="66"/>
      <c r="K275" s="66"/>
      <c r="L275" s="264"/>
      <c r="M275" s="66"/>
    </row>
    <row r="276" spans="3:13" ht="15.75">
      <c r="C276" s="66"/>
      <c r="D276" s="66"/>
      <c r="E276" s="66"/>
      <c r="F276" s="66"/>
      <c r="G276" s="66"/>
      <c r="H276" s="66"/>
      <c r="I276" s="66"/>
      <c r="J276" s="66"/>
      <c r="K276" s="66"/>
      <c r="L276" s="264"/>
      <c r="M276" s="66"/>
    </row>
    <row r="277" spans="3:13" ht="15.75">
      <c r="C277" s="66"/>
      <c r="D277" s="66"/>
      <c r="E277" s="66"/>
      <c r="F277" s="66"/>
      <c r="G277" s="66"/>
      <c r="H277" s="66"/>
      <c r="I277" s="66"/>
      <c r="J277" s="66"/>
      <c r="K277" s="66"/>
      <c r="L277" s="264"/>
      <c r="M277" s="66"/>
    </row>
    <row r="278" spans="3:13" ht="15.75">
      <c r="C278" s="66"/>
      <c r="D278" s="66"/>
      <c r="E278" s="66"/>
      <c r="F278" s="66"/>
      <c r="G278" s="66"/>
      <c r="H278" s="66"/>
      <c r="I278" s="66"/>
      <c r="J278" s="66"/>
      <c r="K278" s="66"/>
      <c r="L278" s="264"/>
      <c r="M278" s="66"/>
    </row>
    <row r="279" spans="3:13" ht="15.75">
      <c r="C279" s="66"/>
      <c r="D279" s="66"/>
      <c r="E279" s="66"/>
      <c r="F279" s="66"/>
      <c r="G279" s="66"/>
      <c r="H279" s="66"/>
      <c r="I279" s="66"/>
      <c r="J279" s="66"/>
      <c r="K279" s="66"/>
      <c r="L279" s="264"/>
      <c r="M279" s="66"/>
    </row>
    <row r="280" spans="3:13" ht="15.75">
      <c r="C280" s="66"/>
      <c r="D280" s="66"/>
      <c r="E280" s="66"/>
      <c r="F280" s="66"/>
      <c r="G280" s="66"/>
      <c r="H280" s="66"/>
      <c r="I280" s="66"/>
      <c r="J280" s="66"/>
      <c r="K280" s="66"/>
      <c r="L280" s="264"/>
      <c r="M280" s="66"/>
    </row>
    <row r="281" spans="3:13" ht="15.75">
      <c r="C281" s="66"/>
      <c r="D281" s="66"/>
      <c r="E281" s="66"/>
      <c r="F281" s="66"/>
      <c r="G281" s="66"/>
      <c r="H281" s="66"/>
      <c r="I281" s="66"/>
      <c r="J281" s="66"/>
      <c r="K281" s="66"/>
      <c r="L281" s="264"/>
      <c r="M281" s="66"/>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scale="51" r:id="rId2"/>
      <headerFooter alignWithMargins="0"/>
    </customSheetView>
  </customSheetViews>
  <mergeCells count="11">
    <mergeCell ref="A5:O5"/>
    <mergeCell ref="A6:O6"/>
    <mergeCell ref="A7:M7"/>
    <mergeCell ref="C80:M80"/>
    <mergeCell ref="C81:M81"/>
    <mergeCell ref="C83:M83"/>
    <mergeCell ref="C82:M82"/>
    <mergeCell ref="C78:M78"/>
    <mergeCell ref="C79:M79"/>
    <mergeCell ref="A50:O50"/>
    <mergeCell ref="A51:O51"/>
  </mergeCells>
  <printOptions horizontalCentered="1"/>
  <pageMargins left="0.7" right="0.7" top="0.75" bottom="0.75" header="0.3" footer="0.3"/>
  <pageSetup fitToHeight="0" orientation="landscape" scale="30"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2"/>
  <sheetViews>
    <sheetView view="pageBreakPreview" zoomScale="70" zoomScaleNormal="75" zoomScaleSheetLayoutView="70" workbookViewId="0" topLeftCell="A1">
      <selection pane="topLeft" activeCell="H22" sqref="H22"/>
    </sheetView>
  </sheetViews>
  <sheetFormatPr defaultColWidth="8.88555555555556" defaultRowHeight="15.75"/>
  <cols>
    <col min="1" max="1" width="6" style="14" customWidth="1"/>
    <col min="2" max="2" width="3.33333333333333" style="14" customWidth="1"/>
    <col min="3" max="3" width="71.5555555555556" style="14" bestFit="1" customWidth="1"/>
    <col min="4" max="4" width="12" style="14" customWidth="1"/>
    <col min="5" max="5" width="14.4444444444444" style="14" customWidth="1"/>
    <col min="6" max="6" width="14.2222222222222" style="14" customWidth="1"/>
    <col min="7" max="7" width="15.6666666666667" style="14" customWidth="1"/>
    <col min="8" max="8" width="14.8888888888889" style="14" customWidth="1"/>
    <col min="9" max="9" width="13.3333333333333" style="14" customWidth="1"/>
    <col min="10" max="10" width="13.1111111111111" style="14" customWidth="1"/>
    <col min="11" max="11" width="15.5555555555556" style="14" customWidth="1"/>
    <col min="12" max="12" width="3.88888888888889" style="14" customWidth="1"/>
    <col min="13" max="13" width="17.1111111111111" style="14" customWidth="1"/>
    <col min="14" max="16384" width="8.88888888888889" style="14"/>
  </cols>
  <sheetData>
    <row r="1" spans="13:13" ht="15.75">
      <c r="M1" s="40" t="s">
        <v>411</v>
      </c>
    </row>
    <row r="2" spans="13:13" ht="15.75">
      <c r="M2" s="40" t="s">
        <v>276</v>
      </c>
    </row>
    <row r="3" spans="13:13" ht="15.75">
      <c r="M3" s="133" t="s">
        <v>435</v>
      </c>
    </row>
    <row r="4" spans="1:7" ht="15.75">
      <c r="A4" s="41"/>
      <c r="G4" s="10"/>
    </row>
    <row r="5" spans="1:4" ht="15.75">
      <c r="A5" s="41"/>
      <c r="C5" s="27"/>
      <c r="D5" s="27"/>
    </row>
    <row r="6" spans="1:12" ht="15.75">
      <c r="A6" s="41"/>
      <c r="C6" s="27"/>
      <c r="D6" s="27"/>
      <c r="L6" s="10"/>
    </row>
    <row r="7" spans="1:1" ht="14.25" customHeight="1">
      <c r="A7" s="41"/>
    </row>
    <row r="8" spans="1:12" ht="15.75">
      <c r="A8" s="832" t="s">
        <v>419</v>
      </c>
      <c r="B8" s="832"/>
      <c r="C8" s="832"/>
      <c r="D8" s="832"/>
      <c r="E8" s="832"/>
      <c r="F8" s="832"/>
      <c r="G8" s="832"/>
      <c r="H8" s="832"/>
      <c r="I8" s="832"/>
      <c r="J8" s="832"/>
      <c r="K8" s="832"/>
      <c r="L8" s="832"/>
    </row>
    <row r="9" spans="1:12" ht="15.75">
      <c r="A9" s="833" t="s">
        <v>418</v>
      </c>
      <c r="B9" s="836"/>
      <c r="C9" s="836"/>
      <c r="D9" s="836"/>
      <c r="E9" s="836"/>
      <c r="F9" s="836"/>
      <c r="G9" s="836"/>
      <c r="H9" s="836"/>
      <c r="I9" s="836"/>
      <c r="J9" s="836"/>
      <c r="K9" s="836"/>
      <c r="L9" s="836"/>
    </row>
    <row r="10" spans="1:12" ht="15.75">
      <c r="A10" s="41"/>
      <c r="E10" s="28"/>
      <c r="H10" s="8"/>
      <c r="I10" s="8"/>
      <c r="J10" s="8"/>
      <c r="K10" s="8"/>
      <c r="L10" s="8"/>
    </row>
    <row r="11" spans="1:12" ht="15.75">
      <c r="A11" s="41"/>
      <c r="E11" s="28"/>
      <c r="F11" s="28"/>
      <c r="H11" s="8"/>
      <c r="I11" s="8"/>
      <c r="J11" s="8"/>
      <c r="K11" s="8"/>
      <c r="L11" s="8"/>
    </row>
    <row r="12" spans="1:11" ht="15.75">
      <c r="A12" s="41"/>
      <c r="C12" s="49" t="s">
        <v>424</v>
      </c>
      <c r="D12" s="49" t="s">
        <v>425</v>
      </c>
      <c r="E12" s="49" t="s">
        <v>426</v>
      </c>
      <c r="F12" s="49" t="s">
        <v>427</v>
      </c>
      <c r="G12" s="49" t="s">
        <v>428</v>
      </c>
      <c r="H12" s="49" t="s">
        <v>429</v>
      </c>
      <c r="I12" s="49" t="s">
        <v>430</v>
      </c>
      <c r="J12" s="49" t="s">
        <v>431</v>
      </c>
      <c r="K12" s="49" t="s">
        <v>432</v>
      </c>
    </row>
    <row r="13" spans="1:11" s="122" customFormat="1" ht="80.1" customHeight="1">
      <c r="A13" s="50" t="s">
        <v>256</v>
      </c>
      <c r="B13" s="121"/>
      <c r="C13" s="52" t="s">
        <v>257</v>
      </c>
      <c r="D13" s="52" t="s">
        <v>297</v>
      </c>
      <c r="E13" s="53" t="s">
        <v>422</v>
      </c>
      <c r="F13" s="53" t="s">
        <v>412</v>
      </c>
      <c r="G13" s="52" t="s">
        <v>413</v>
      </c>
      <c r="H13" s="53" t="s">
        <v>414</v>
      </c>
      <c r="I13" s="53" t="s">
        <v>415</v>
      </c>
      <c r="J13" s="52" t="s">
        <v>573</v>
      </c>
      <c r="K13" s="214" t="s">
        <v>574</v>
      </c>
    </row>
    <row r="14" spans="1:11" ht="46.5" customHeight="1">
      <c r="A14" s="56"/>
      <c r="B14" s="57"/>
      <c r="C14" s="57"/>
      <c r="D14" s="57"/>
      <c r="E14" s="58"/>
      <c r="F14" s="126" t="s">
        <v>730</v>
      </c>
      <c r="G14" s="126" t="s">
        <v>433</v>
      </c>
      <c r="H14" s="126" t="s">
        <v>731</v>
      </c>
      <c r="I14" s="58" t="s">
        <v>434</v>
      </c>
      <c r="J14" s="126" t="s">
        <v>572</v>
      </c>
      <c r="K14" s="215" t="s">
        <v>732</v>
      </c>
    </row>
    <row r="15" spans="1:11" ht="15.75">
      <c r="A15" s="61"/>
      <c r="B15" s="8"/>
      <c r="C15" s="8"/>
      <c r="D15" s="8"/>
      <c r="E15" s="123"/>
      <c r="F15" s="123"/>
      <c r="G15" s="123"/>
      <c r="H15" s="123"/>
      <c r="I15" s="123"/>
      <c r="J15" s="123"/>
      <c r="K15" s="124"/>
    </row>
    <row r="16" spans="1:11" ht="15.75">
      <c r="A16" s="125">
        <v>1</v>
      </c>
      <c r="B16" s="8" t="s">
        <v>364</v>
      </c>
      <c r="C16" s="8" t="s">
        <v>420</v>
      </c>
      <c r="D16" s="8"/>
      <c r="E16" s="580">
        <v>29200980</v>
      </c>
      <c r="F16" s="581"/>
      <c r="G16" s="581"/>
      <c r="H16" s="581"/>
      <c r="I16" s="581"/>
      <c r="J16" s="581"/>
      <c r="K16" s="582"/>
    </row>
    <row r="17" spans="1:11" ht="15.75">
      <c r="A17" s="61"/>
      <c r="B17" s="8"/>
      <c r="C17" s="8"/>
      <c r="D17" s="8"/>
      <c r="E17" s="581"/>
      <c r="F17" s="581"/>
      <c r="G17" s="581"/>
      <c r="H17" s="581"/>
      <c r="I17" s="581"/>
      <c r="J17" s="581"/>
      <c r="K17" s="582"/>
    </row>
    <row r="18" spans="1:11" ht="15.75">
      <c r="A18" s="576" t="s">
        <v>329</v>
      </c>
      <c r="B18" s="573"/>
      <c r="C18" s="577" t="s">
        <v>848</v>
      </c>
      <c r="D18" s="579" t="s">
        <v>856</v>
      </c>
      <c r="E18" s="583"/>
      <c r="F18" s="584">
        <v>1983009.2973148355</v>
      </c>
      <c r="G18" s="583">
        <f>IF(F$35&gt;0,(E$16*(F18/F$35)),0)</f>
        <v>1724635.6459314344</v>
      </c>
      <c r="H18" s="584">
        <v>1849855.72833171</v>
      </c>
      <c r="I18" s="583">
        <f>H18-G18</f>
        <v>125220.08240027563</v>
      </c>
      <c r="J18" s="585">
        <f>IF(I$38=0,0,(I18*((I$37/I$38)-1)))</f>
        <v>8875.3451381190498</v>
      </c>
      <c r="K18" s="586">
        <f>I18+J18</f>
        <v>134095.42753839467</v>
      </c>
    </row>
    <row r="19" spans="1:11" ht="15.75">
      <c r="A19" s="576" t="s">
        <v>352</v>
      </c>
      <c r="B19" s="573"/>
      <c r="C19" s="577" t="s">
        <v>849</v>
      </c>
      <c r="D19" s="579" t="s">
        <v>857</v>
      </c>
      <c r="E19" s="583"/>
      <c r="F19" s="584">
        <v>3160148.8396125869</v>
      </c>
      <c r="G19" s="583">
        <f t="shared" si="0" ref="G19:G23">IF(F$35&gt;0,(E$16*(F19/F$35)),0)</f>
        <v>2748401.3023159481</v>
      </c>
      <c r="H19" s="584">
        <v>2968219.3837749898</v>
      </c>
      <c r="I19" s="583">
        <f>H19-G19</f>
        <v>219818.08145904168</v>
      </c>
      <c r="J19" s="585">
        <f t="shared" si="1" ref="J19:J24">IF(I$38=0,0,(I19*((I$37/I$38)-1)))</f>
        <v>15580.259197656211</v>
      </c>
      <c r="K19" s="586">
        <f t="shared" si="2" ref="K19:K23">I19+J19</f>
        <v>235398.3406566979</v>
      </c>
    </row>
    <row r="20" spans="1:11" ht="15.75">
      <c r="A20" s="576" t="s">
        <v>353</v>
      </c>
      <c r="B20" s="573"/>
      <c r="C20" s="577" t="s">
        <v>850</v>
      </c>
      <c r="D20" s="579" t="s">
        <v>858</v>
      </c>
      <c r="E20" s="583"/>
      <c r="F20" s="584">
        <v>6173883.0484082373</v>
      </c>
      <c r="G20" s="583">
        <f t="shared" si="0"/>
        <v>5369464.8802275266</v>
      </c>
      <c r="H20" s="584">
        <v>5948045.2040382707</v>
      </c>
      <c r="I20" s="583">
        <f>H20-G20</f>
        <v>578580.3238107441</v>
      </c>
      <c r="J20" s="585">
        <f t="shared" si="1"/>
        <v>41008.59834551371</v>
      </c>
      <c r="K20" s="586">
        <f t="shared" si="2"/>
        <v>619588.92215625779</v>
      </c>
    </row>
    <row r="21" spans="1:11" ht="15.75">
      <c r="A21" s="576" t="s">
        <v>722</v>
      </c>
      <c r="B21" s="573"/>
      <c r="C21" s="577" t="s">
        <v>851</v>
      </c>
      <c r="D21" s="579" t="s">
        <v>859</v>
      </c>
      <c r="E21" s="583"/>
      <c r="F21" s="584">
        <v>15218661.528098611</v>
      </c>
      <c r="G21" s="583">
        <f>IF(F$35&gt;0,(E$16*(F21/F$35)),0)</f>
        <v>13235765.556048792</v>
      </c>
      <c r="H21" s="584">
        <v>14009242.144757399</v>
      </c>
      <c r="I21" s="583">
        <f t="shared" si="3" ref="I21:I24">H21-G21</f>
        <v>773476.58870860748</v>
      </c>
      <c r="J21" s="585">
        <f t="shared" si="1"/>
        <v>54822.449797627167</v>
      </c>
      <c r="K21" s="586">
        <f t="shared" si="2"/>
        <v>828299.03850623465</v>
      </c>
    </row>
    <row r="22" spans="1:11" ht="15.75">
      <c r="A22" s="576" t="s">
        <v>723</v>
      </c>
      <c r="B22" s="573"/>
      <c r="C22" s="577" t="s">
        <v>852</v>
      </c>
      <c r="D22" s="579" t="s">
        <v>860</v>
      </c>
      <c r="E22" s="583"/>
      <c r="F22" s="584">
        <v>3204891.7983742161</v>
      </c>
      <c r="G22" s="583">
        <f t="shared" si="0"/>
        <v>2787314.5346892071</v>
      </c>
      <c r="H22" s="584">
        <v>1685535.40587761</v>
      </c>
      <c r="I22" s="583">
        <f t="shared" si="3"/>
        <v>-1101779.1288115971</v>
      </c>
      <c r="J22" s="585">
        <f t="shared" si="1"/>
        <v>-78091.867108989594</v>
      </c>
      <c r="K22" s="586">
        <f t="shared" si="2"/>
        <v>-1179870.9959205866</v>
      </c>
    </row>
    <row r="23" spans="1:11" ht="15.75">
      <c r="A23" s="576" t="s">
        <v>724</v>
      </c>
      <c r="B23" s="573"/>
      <c r="C23" s="577" t="s">
        <v>853</v>
      </c>
      <c r="D23" s="579" t="s">
        <v>861</v>
      </c>
      <c r="E23" s="583"/>
      <c r="F23" s="584">
        <v>974600.47976893047</v>
      </c>
      <c r="G23" s="583">
        <f t="shared" si="0"/>
        <v>847616.1610676077</v>
      </c>
      <c r="H23" s="584">
        <v>432526.18731152802</v>
      </c>
      <c r="I23" s="583">
        <f t="shared" si="3"/>
        <v>-415089.97375607968</v>
      </c>
      <c r="J23" s="585">
        <f t="shared" si="1"/>
        <v>-29420.734356982637</v>
      </c>
      <c r="K23" s="586">
        <f t="shared" si="2"/>
        <v>-444510.70811306231</v>
      </c>
    </row>
    <row r="24" spans="1:11" ht="15.75">
      <c r="A24" s="576" t="s">
        <v>725</v>
      </c>
      <c r="B24" s="573"/>
      <c r="C24" s="577" t="s">
        <v>854</v>
      </c>
      <c r="D24" s="579" t="s">
        <v>862</v>
      </c>
      <c r="E24" s="583"/>
      <c r="F24" s="584">
        <v>2177715.1774362018</v>
      </c>
      <c r="G24" s="583">
        <f>IF(F$35&gt;0,(E$16*(F24/F$35)),0)</f>
        <v>1893972.5732894952</v>
      </c>
      <c r="H24" s="584">
        <v>982000.31393226795</v>
      </c>
      <c r="I24" s="583">
        <f t="shared" si="3"/>
        <v>-911972.25935722725</v>
      </c>
      <c r="J24" s="585">
        <f t="shared" si="1"/>
        <v>-64638.741670144409</v>
      </c>
      <c r="K24" s="586">
        <f>I24+J24</f>
        <v>-976611.00102737162</v>
      </c>
    </row>
    <row r="25" spans="1:11" ht="15.75">
      <c r="A25" s="576" t="s">
        <v>864</v>
      </c>
      <c r="C25" s="577" t="s">
        <v>855</v>
      </c>
      <c r="D25" s="579" t="s">
        <v>863</v>
      </c>
      <c r="E25" s="129"/>
      <c r="F25" s="584">
        <v>682769.98540590005</v>
      </c>
      <c r="G25" s="583">
        <f>IF(F$35&gt;0,(E$16*(F25/F$35)),0)</f>
        <v>593809.34642998211</v>
      </c>
      <c r="H25" s="584">
        <v>570324.52005776088</v>
      </c>
      <c r="I25" s="583">
        <f t="shared" si="4" ref="I25">H25-G25</f>
        <v>-23484.826372221229</v>
      </c>
      <c r="J25" s="585">
        <f t="shared" si="5" ref="J25">IF(I$38=0,0,(I25*((I$37/I$38)-1)))</f>
        <v>-1664.5567992519141</v>
      </c>
      <c r="K25" s="586">
        <f>I25+J25</f>
        <v>-25149.383171473142</v>
      </c>
    </row>
    <row r="26" spans="1:11" ht="15.75">
      <c r="A26" s="64"/>
      <c r="C26" s="66"/>
      <c r="D26" s="66"/>
      <c r="E26" s="129"/>
      <c r="F26" s="129"/>
      <c r="G26" s="129"/>
      <c r="H26" s="129"/>
      <c r="I26" s="129"/>
      <c r="J26" s="129"/>
      <c r="K26" s="130"/>
    </row>
    <row r="27" spans="1:11" ht="15.75">
      <c r="A27" s="64"/>
      <c r="C27" s="66"/>
      <c r="D27" s="66"/>
      <c r="E27" s="129"/>
      <c r="F27" s="129"/>
      <c r="G27" s="129"/>
      <c r="H27" s="129"/>
      <c r="I27" s="129"/>
      <c r="J27" s="129"/>
      <c r="K27" s="130"/>
    </row>
    <row r="28" spans="1:11" ht="15.75">
      <c r="A28" s="64"/>
      <c r="C28" s="66"/>
      <c r="D28" s="66"/>
      <c r="E28" s="129"/>
      <c r="F28" s="129"/>
      <c r="G28" s="129"/>
      <c r="H28" s="129"/>
      <c r="I28" s="129"/>
      <c r="J28" s="129"/>
      <c r="K28" s="130"/>
    </row>
    <row r="29" spans="1:11" ht="15.75">
      <c r="A29" s="64"/>
      <c r="C29" s="66"/>
      <c r="D29" s="66"/>
      <c r="E29" s="129"/>
      <c r="F29" s="129"/>
      <c r="G29" s="129"/>
      <c r="H29" s="129"/>
      <c r="I29" s="129"/>
      <c r="J29" s="129"/>
      <c r="K29" s="130"/>
    </row>
    <row r="30" spans="1:11" ht="15.75">
      <c r="A30" s="64"/>
      <c r="C30" s="66"/>
      <c r="D30" s="66"/>
      <c r="E30" s="129"/>
      <c r="F30" s="129"/>
      <c r="G30" s="129"/>
      <c r="H30" s="129"/>
      <c r="I30" s="129"/>
      <c r="J30" s="129"/>
      <c r="K30" s="130"/>
    </row>
    <row r="31" spans="1:11" ht="15.75">
      <c r="A31" s="64"/>
      <c r="C31" s="66"/>
      <c r="D31" s="66"/>
      <c r="E31" s="129"/>
      <c r="F31" s="129"/>
      <c r="G31" s="129"/>
      <c r="H31" s="129"/>
      <c r="I31" s="129"/>
      <c r="J31" s="129"/>
      <c r="K31" s="130"/>
    </row>
    <row r="32" spans="1:11" ht="15.75">
      <c r="A32" s="64"/>
      <c r="C32" s="66"/>
      <c r="D32" s="66"/>
      <c r="E32" s="129"/>
      <c r="F32" s="129"/>
      <c r="G32" s="129"/>
      <c r="H32" s="129"/>
      <c r="I32" s="129"/>
      <c r="J32" s="129"/>
      <c r="K32" s="130"/>
    </row>
    <row r="33" spans="1:11" ht="15.75">
      <c r="A33" s="64"/>
      <c r="C33" s="66"/>
      <c r="D33" s="66"/>
      <c r="E33" s="129"/>
      <c r="F33" s="129"/>
      <c r="G33" s="129"/>
      <c r="H33" s="129"/>
      <c r="I33" s="129"/>
      <c r="J33" s="129"/>
      <c r="K33" s="130"/>
    </row>
    <row r="34" spans="1:11" ht="15.75">
      <c r="A34" s="68"/>
      <c r="B34" s="69"/>
      <c r="C34" s="70"/>
      <c r="D34" s="70"/>
      <c r="E34" s="131"/>
      <c r="F34" s="131"/>
      <c r="G34" s="131"/>
      <c r="H34" s="131"/>
      <c r="I34" s="131"/>
      <c r="J34" s="131"/>
      <c r="K34" s="132"/>
    </row>
    <row r="35" spans="1:12" ht="15.75">
      <c r="A35" s="12" t="s">
        <v>345</v>
      </c>
      <c r="B35" s="48"/>
      <c r="C35" s="14" t="s">
        <v>423</v>
      </c>
      <c r="D35" s="27"/>
      <c r="E35" s="46"/>
      <c r="F35" s="590">
        <f>SUM(F18:F34)</f>
        <v>33575680.154419526</v>
      </c>
      <c r="G35" s="590">
        <f>SUM(G18:G34)</f>
        <v>29200979.999999993</v>
      </c>
      <c r="H35" s="590">
        <f>SUM(H18:H34)</f>
        <v>28445748.888081536</v>
      </c>
      <c r="I35" s="128"/>
      <c r="J35" s="128"/>
      <c r="K35" s="128"/>
      <c r="L35" s="128"/>
    </row>
    <row r="36" spans="1:5" ht="15.75">
      <c r="A36" s="66"/>
      <c r="B36" s="66"/>
      <c r="E36" s="66"/>
    </row>
    <row r="37" spans="1:9" ht="15.75">
      <c r="A37" s="46" t="s">
        <v>223</v>
      </c>
      <c r="C37" s="14" t="s">
        <v>479</v>
      </c>
      <c r="I37" s="170">
        <f>-'Appendix H-Rev Req True-up Adj'!H51</f>
        <v>43746038.622278422</v>
      </c>
    </row>
    <row r="38" spans="1:9" ht="15.75">
      <c r="A38" s="46" t="s">
        <v>224</v>
      </c>
      <c r="C38" s="14" t="s">
        <v>480</v>
      </c>
      <c r="I38" s="170">
        <f>'Appendix H-Rev Req True-up Adj'!H52</f>
        <v>40850629</v>
      </c>
    </row>
    <row r="39" spans="1:11" ht="15.75">
      <c r="A39" s="46"/>
      <c r="K39" s="482"/>
    </row>
    <row r="40" spans="1:11" ht="15.75">
      <c r="A40" s="631"/>
      <c r="I40" s="128"/>
      <c r="K40" s="482"/>
    </row>
    <row r="41" spans="3:3" ht="15.75">
      <c r="C41" s="169"/>
    </row>
    <row r="43" spans="1:12" ht="15.75">
      <c r="A43" s="66" t="s">
        <v>436</v>
      </c>
      <c r="B43" s="66"/>
      <c r="C43" s="66"/>
      <c r="D43" s="66"/>
      <c r="E43" s="66"/>
      <c r="F43" s="66"/>
      <c r="G43" s="66"/>
      <c r="H43" s="66"/>
      <c r="I43" s="66"/>
      <c r="J43" s="66"/>
      <c r="K43" s="66"/>
      <c r="L43" s="66"/>
    </row>
    <row r="44" spans="1:12" ht="15.75">
      <c r="A44" s="76"/>
      <c r="B44" s="66" t="s">
        <v>364</v>
      </c>
      <c r="C44" s="66" t="s">
        <v>421</v>
      </c>
      <c r="D44" s="66"/>
      <c r="E44" s="66"/>
      <c r="F44" s="66"/>
      <c r="G44" s="66"/>
      <c r="H44" s="66"/>
      <c r="I44" s="66"/>
      <c r="J44" s="66"/>
      <c r="K44" s="66"/>
      <c r="L44" s="66"/>
    </row>
    <row r="45" spans="1:10" ht="15.75">
      <c r="A45" s="11"/>
      <c r="C45" s="12"/>
      <c r="D45" s="12"/>
      <c r="E45" s="46"/>
      <c r="F45" s="46"/>
      <c r="G45" s="10"/>
      <c r="J45" s="44"/>
    </row>
    <row r="46" spans="1:10" ht="15.75">
      <c r="A46" s="11"/>
      <c r="C46" s="12"/>
      <c r="D46" s="12"/>
      <c r="E46" s="46"/>
      <c r="F46" s="46"/>
      <c r="G46" s="10"/>
      <c r="J46" s="44"/>
    </row>
    <row r="47" spans="3:12" ht="15.75">
      <c r="C47" s="66"/>
      <c r="D47" s="66"/>
      <c r="E47" s="66"/>
      <c r="F47" s="66"/>
      <c r="G47" s="66"/>
      <c r="H47" s="66"/>
      <c r="I47" s="66"/>
      <c r="J47" s="66"/>
      <c r="K47" s="66"/>
      <c r="L47" s="66"/>
    </row>
    <row r="48" spans="3:12" ht="15.75">
      <c r="C48" s="66"/>
      <c r="D48" s="66"/>
      <c r="E48" s="66"/>
      <c r="F48" s="66"/>
      <c r="G48" s="66"/>
      <c r="H48" s="66"/>
      <c r="I48" s="66"/>
      <c r="J48" s="66"/>
      <c r="K48" s="66"/>
      <c r="L48" s="66"/>
    </row>
    <row r="49" spans="3:12" ht="15.75">
      <c r="C49" s="66"/>
      <c r="D49" s="66"/>
      <c r="E49" s="66"/>
      <c r="F49" s="66"/>
      <c r="G49" s="66"/>
      <c r="H49" s="66"/>
      <c r="I49" s="66"/>
      <c r="J49" s="66"/>
      <c r="K49" s="66"/>
      <c r="L49" s="66"/>
    </row>
    <row r="50" spans="3:12" ht="15.75">
      <c r="C50" s="66"/>
      <c r="D50" s="66"/>
      <c r="E50" s="66"/>
      <c r="F50" s="66"/>
      <c r="G50" s="66"/>
      <c r="H50" s="66"/>
      <c r="I50" s="66"/>
      <c r="J50" s="66"/>
      <c r="K50" s="66"/>
      <c r="L50" s="66"/>
    </row>
    <row r="51" spans="3:12" ht="15.75">
      <c r="C51" s="66"/>
      <c r="D51" s="66"/>
      <c r="E51" s="66"/>
      <c r="F51" s="66"/>
      <c r="G51" s="66"/>
      <c r="H51" s="66"/>
      <c r="I51" s="66"/>
      <c r="J51" s="66"/>
      <c r="K51" s="66"/>
      <c r="L51" s="66"/>
    </row>
    <row r="52" spans="3:12" ht="15.75">
      <c r="C52" s="66"/>
      <c r="D52" s="66"/>
      <c r="E52" s="66"/>
      <c r="F52" s="66"/>
      <c r="G52" s="66"/>
      <c r="H52" s="66"/>
      <c r="I52" s="66"/>
      <c r="J52" s="66"/>
      <c r="K52" s="66"/>
      <c r="L52" s="66"/>
    </row>
    <row r="53" spans="3:12" ht="15.75">
      <c r="C53" s="66"/>
      <c r="D53" s="66"/>
      <c r="E53" s="66"/>
      <c r="F53" s="66"/>
      <c r="G53" s="66"/>
      <c r="H53" s="66"/>
      <c r="I53" s="66"/>
      <c r="J53" s="66"/>
      <c r="K53" s="66"/>
      <c r="L53" s="66"/>
    </row>
    <row r="54" spans="3:12" ht="15.75">
      <c r="C54" s="66"/>
      <c r="D54" s="66"/>
      <c r="E54" s="66"/>
      <c r="F54" s="66"/>
      <c r="G54" s="66"/>
      <c r="H54" s="66"/>
      <c r="I54" s="66"/>
      <c r="J54" s="66"/>
      <c r="K54" s="66"/>
      <c r="L54" s="66"/>
    </row>
    <row r="55" spans="3:12" ht="15.75">
      <c r="C55" s="66"/>
      <c r="D55" s="66"/>
      <c r="E55" s="66"/>
      <c r="F55" s="66"/>
      <c r="G55" s="66"/>
      <c r="H55" s="66"/>
      <c r="I55" s="66"/>
      <c r="J55" s="66"/>
      <c r="K55" s="66"/>
      <c r="L55" s="66"/>
    </row>
    <row r="56" spans="3:12" ht="15.75">
      <c r="C56" s="66"/>
      <c r="D56" s="66"/>
      <c r="E56" s="66"/>
      <c r="F56" s="66"/>
      <c r="G56" s="66"/>
      <c r="H56" s="66"/>
      <c r="I56" s="66"/>
      <c r="J56" s="66"/>
      <c r="K56" s="66"/>
      <c r="L56" s="66"/>
    </row>
    <row r="57" spans="3:12" ht="15.75">
      <c r="C57" s="66"/>
      <c r="D57" s="66"/>
      <c r="E57" s="66"/>
      <c r="F57" s="66"/>
      <c r="G57" s="66"/>
      <c r="H57" s="66"/>
      <c r="I57" s="66"/>
      <c r="J57" s="66"/>
      <c r="K57" s="66"/>
      <c r="L57" s="66"/>
    </row>
    <row r="58" spans="3:12" ht="15.75">
      <c r="C58" s="66"/>
      <c r="D58" s="66"/>
      <c r="E58" s="66"/>
      <c r="F58" s="66"/>
      <c r="G58" s="66"/>
      <c r="H58" s="66"/>
      <c r="I58" s="66"/>
      <c r="J58" s="66"/>
      <c r="K58" s="66"/>
      <c r="L58" s="66"/>
    </row>
    <row r="59" spans="3:12" ht="15.75">
      <c r="C59" s="66"/>
      <c r="D59" s="66"/>
      <c r="E59" s="66"/>
      <c r="F59" s="66"/>
      <c r="G59" s="66"/>
      <c r="H59" s="66"/>
      <c r="I59" s="66"/>
      <c r="J59" s="66"/>
      <c r="K59" s="66"/>
      <c r="L59" s="66"/>
    </row>
    <row r="60" spans="3:12" ht="15.75">
      <c r="C60" s="66"/>
      <c r="D60" s="66"/>
      <c r="E60" s="66"/>
      <c r="F60" s="66"/>
      <c r="G60" s="66"/>
      <c r="H60" s="66"/>
      <c r="I60" s="66"/>
      <c r="J60" s="66"/>
      <c r="K60" s="66"/>
      <c r="L60" s="66"/>
    </row>
    <row r="61" spans="3:12" ht="15.75">
      <c r="C61" s="66"/>
      <c r="D61" s="66"/>
      <c r="E61" s="66"/>
      <c r="F61" s="66"/>
      <c r="G61" s="66"/>
      <c r="H61" s="66"/>
      <c r="I61" s="66"/>
      <c r="J61" s="66"/>
      <c r="K61" s="66"/>
      <c r="L61" s="66"/>
    </row>
    <row r="62" spans="3:12" ht="15.75">
      <c r="C62" s="66"/>
      <c r="D62" s="66"/>
      <c r="E62" s="66"/>
      <c r="F62" s="66"/>
      <c r="G62" s="66"/>
      <c r="H62" s="66"/>
      <c r="I62" s="66"/>
      <c r="J62" s="66"/>
      <c r="K62" s="66"/>
      <c r="L62" s="66"/>
    </row>
    <row r="63" spans="3:12" ht="15.75">
      <c r="C63" s="66"/>
      <c r="D63" s="66"/>
      <c r="E63" s="66"/>
      <c r="F63" s="66"/>
      <c r="G63" s="66"/>
      <c r="H63" s="66"/>
      <c r="I63" s="66"/>
      <c r="J63" s="66"/>
      <c r="K63" s="66"/>
      <c r="L63" s="66"/>
    </row>
    <row r="64" spans="3:12" ht="15.75">
      <c r="C64" s="66"/>
      <c r="D64" s="66"/>
      <c r="E64" s="66"/>
      <c r="F64" s="66"/>
      <c r="G64" s="66"/>
      <c r="H64" s="66"/>
      <c r="I64" s="66"/>
      <c r="J64" s="66"/>
      <c r="K64" s="66"/>
      <c r="L64" s="66"/>
    </row>
    <row r="65" spans="3:12" ht="15.75">
      <c r="C65" s="66"/>
      <c r="D65" s="66"/>
      <c r="E65" s="66"/>
      <c r="F65" s="66"/>
      <c r="G65" s="66"/>
      <c r="H65" s="66"/>
      <c r="I65" s="66"/>
      <c r="J65" s="66"/>
      <c r="K65" s="66"/>
      <c r="L65" s="66"/>
    </row>
    <row r="66" spans="3:12" ht="15.75">
      <c r="C66" s="66"/>
      <c r="D66" s="66"/>
      <c r="E66" s="66"/>
      <c r="F66" s="66"/>
      <c r="G66" s="66"/>
      <c r="H66" s="66"/>
      <c r="I66" s="66"/>
      <c r="J66" s="66"/>
      <c r="K66" s="66"/>
      <c r="L66" s="66"/>
    </row>
    <row r="67" spans="3:12" ht="15.75">
      <c r="C67" s="66"/>
      <c r="D67" s="66"/>
      <c r="E67" s="66"/>
      <c r="F67" s="66"/>
      <c r="G67" s="66"/>
      <c r="H67" s="66"/>
      <c r="I67" s="66"/>
      <c r="J67" s="66"/>
      <c r="K67" s="66"/>
      <c r="L67" s="66"/>
    </row>
    <row r="68" spans="3:12" ht="15.75">
      <c r="C68" s="66"/>
      <c r="D68" s="66"/>
      <c r="E68" s="66"/>
      <c r="F68" s="66"/>
      <c r="G68" s="66"/>
      <c r="H68" s="66"/>
      <c r="I68" s="66"/>
      <c r="J68" s="66"/>
      <c r="K68" s="66"/>
      <c r="L68" s="66"/>
    </row>
    <row r="69" spans="3:12" ht="15.75">
      <c r="C69" s="66"/>
      <c r="D69" s="66"/>
      <c r="E69" s="66"/>
      <c r="F69" s="66"/>
      <c r="G69" s="66"/>
      <c r="H69" s="66"/>
      <c r="I69" s="66"/>
      <c r="J69" s="66"/>
      <c r="K69" s="66"/>
      <c r="L69" s="66"/>
    </row>
    <row r="70" spans="3:12" ht="15.75">
      <c r="C70" s="66"/>
      <c r="D70" s="66"/>
      <c r="E70" s="66"/>
      <c r="F70" s="66"/>
      <c r="G70" s="66"/>
      <c r="H70" s="66"/>
      <c r="I70" s="66"/>
      <c r="J70" s="66"/>
      <c r="K70" s="66"/>
      <c r="L70" s="66"/>
    </row>
    <row r="71" spans="3:12" ht="15.75">
      <c r="C71" s="66"/>
      <c r="D71" s="66"/>
      <c r="E71" s="66"/>
      <c r="F71" s="66"/>
      <c r="G71" s="66"/>
      <c r="H71" s="66"/>
      <c r="I71" s="66"/>
      <c r="J71" s="66"/>
      <c r="K71" s="66"/>
      <c r="L71" s="66"/>
    </row>
    <row r="72" spans="3:12" ht="15.75">
      <c r="C72" s="66"/>
      <c r="D72" s="66"/>
      <c r="E72" s="66"/>
      <c r="F72" s="66"/>
      <c r="G72" s="66"/>
      <c r="H72" s="66"/>
      <c r="I72" s="66"/>
      <c r="J72" s="66"/>
      <c r="K72" s="66"/>
      <c r="L72" s="66"/>
    </row>
    <row r="73" spans="3:12" ht="15.75">
      <c r="C73" s="66"/>
      <c r="D73" s="66"/>
      <c r="E73" s="66"/>
      <c r="F73" s="66"/>
      <c r="G73" s="66"/>
      <c r="H73" s="66"/>
      <c r="I73" s="66"/>
      <c r="J73" s="66"/>
      <c r="K73" s="66"/>
      <c r="L73" s="66"/>
    </row>
    <row r="74" spans="3:12" ht="15.75">
      <c r="C74" s="66"/>
      <c r="D74" s="66"/>
      <c r="E74" s="66"/>
      <c r="F74" s="66"/>
      <c r="G74" s="66"/>
      <c r="H74" s="66"/>
      <c r="I74" s="66"/>
      <c r="J74" s="66"/>
      <c r="K74" s="66"/>
      <c r="L74" s="66"/>
    </row>
    <row r="75" spans="3:12" ht="15.75">
      <c r="C75" s="66"/>
      <c r="D75" s="66"/>
      <c r="E75" s="66"/>
      <c r="F75" s="66"/>
      <c r="G75" s="66"/>
      <c r="H75" s="66"/>
      <c r="I75" s="66"/>
      <c r="J75" s="66"/>
      <c r="K75" s="66"/>
      <c r="L75" s="66"/>
    </row>
    <row r="76" spans="3:12" ht="15.75">
      <c r="C76" s="66"/>
      <c r="D76" s="66"/>
      <c r="E76" s="66"/>
      <c r="F76" s="66"/>
      <c r="G76" s="66"/>
      <c r="H76" s="66"/>
      <c r="I76" s="66"/>
      <c r="J76" s="66"/>
      <c r="K76" s="66"/>
      <c r="L76" s="66"/>
    </row>
    <row r="77" spans="3:12" ht="15.75">
      <c r="C77" s="66"/>
      <c r="D77" s="66"/>
      <c r="E77" s="66"/>
      <c r="F77" s="66"/>
      <c r="G77" s="66"/>
      <c r="H77" s="66"/>
      <c r="I77" s="66"/>
      <c r="J77" s="66"/>
      <c r="K77" s="66"/>
      <c r="L77" s="66"/>
    </row>
    <row r="78" spans="3:12" ht="15.75">
      <c r="C78" s="66"/>
      <c r="D78" s="66"/>
      <c r="E78" s="66"/>
      <c r="F78" s="66"/>
      <c r="G78" s="66"/>
      <c r="H78" s="66"/>
      <c r="I78" s="66"/>
      <c r="J78" s="66"/>
      <c r="K78" s="66"/>
      <c r="L78" s="66"/>
    </row>
    <row r="79" spans="3:12" ht="15.75">
      <c r="C79" s="66"/>
      <c r="D79" s="66"/>
      <c r="E79" s="66"/>
      <c r="F79" s="66"/>
      <c r="G79" s="66"/>
      <c r="H79" s="66"/>
      <c r="I79" s="66"/>
      <c r="J79" s="66"/>
      <c r="K79" s="66"/>
      <c r="L79" s="66"/>
    </row>
    <row r="80" spans="3:12" ht="15.75">
      <c r="C80" s="66"/>
      <c r="D80" s="66"/>
      <c r="E80" s="66"/>
      <c r="F80" s="66"/>
      <c r="G80" s="66"/>
      <c r="H80" s="66"/>
      <c r="I80" s="66"/>
      <c r="J80" s="66"/>
      <c r="K80" s="66"/>
      <c r="L80" s="66"/>
    </row>
    <row r="81" spans="3:12" ht="15.75">
      <c r="C81" s="66"/>
      <c r="D81" s="66"/>
      <c r="E81" s="66"/>
      <c r="F81" s="66"/>
      <c r="G81" s="66"/>
      <c r="H81" s="66"/>
      <c r="I81" s="66"/>
      <c r="J81" s="66"/>
      <c r="K81" s="66"/>
      <c r="L81" s="66"/>
    </row>
    <row r="82" spans="3:12" ht="15.75">
      <c r="C82" s="66"/>
      <c r="D82" s="66"/>
      <c r="E82" s="66"/>
      <c r="F82" s="66"/>
      <c r="G82" s="66"/>
      <c r="H82" s="66"/>
      <c r="I82" s="66"/>
      <c r="J82" s="66"/>
      <c r="K82" s="66"/>
      <c r="L82" s="66"/>
    </row>
    <row r="83" spans="3:12" ht="15.75">
      <c r="C83" s="66"/>
      <c r="D83" s="66"/>
      <c r="E83" s="66"/>
      <c r="F83" s="66"/>
      <c r="G83" s="66"/>
      <c r="H83" s="66"/>
      <c r="I83" s="66"/>
      <c r="J83" s="66"/>
      <c r="K83" s="66"/>
      <c r="L83" s="66"/>
    </row>
    <row r="84" spans="3:12" ht="15.75">
      <c r="C84" s="66"/>
      <c r="D84" s="66"/>
      <c r="E84" s="66"/>
      <c r="F84" s="66"/>
      <c r="G84" s="66"/>
      <c r="H84" s="66"/>
      <c r="I84" s="66"/>
      <c r="J84" s="66"/>
      <c r="K84" s="66"/>
      <c r="L84" s="66"/>
    </row>
    <row r="85" spans="3:12" ht="15.75">
      <c r="C85" s="66"/>
      <c r="D85" s="66"/>
      <c r="E85" s="66"/>
      <c r="F85" s="66"/>
      <c r="G85" s="66"/>
      <c r="H85" s="66"/>
      <c r="I85" s="66"/>
      <c r="J85" s="66"/>
      <c r="K85" s="66"/>
      <c r="L85" s="66"/>
    </row>
    <row r="86" spans="3:12" ht="15.75">
      <c r="C86" s="66"/>
      <c r="D86" s="66"/>
      <c r="E86" s="66"/>
      <c r="F86" s="66"/>
      <c r="G86" s="66"/>
      <c r="H86" s="66"/>
      <c r="I86" s="66"/>
      <c r="J86" s="66"/>
      <c r="K86" s="66"/>
      <c r="L86" s="66"/>
    </row>
    <row r="87" spans="3:12" ht="15.75">
      <c r="C87" s="66"/>
      <c r="D87" s="66"/>
      <c r="E87" s="66"/>
      <c r="F87" s="66"/>
      <c r="G87" s="66"/>
      <c r="H87" s="66"/>
      <c r="I87" s="66"/>
      <c r="J87" s="66"/>
      <c r="K87" s="66"/>
      <c r="L87" s="66"/>
    </row>
    <row r="88" spans="3:12" ht="15.75">
      <c r="C88" s="66"/>
      <c r="D88" s="66"/>
      <c r="E88" s="66"/>
      <c r="F88" s="66"/>
      <c r="G88" s="66"/>
      <c r="H88" s="66"/>
      <c r="I88" s="66"/>
      <c r="J88" s="66"/>
      <c r="K88" s="66"/>
      <c r="L88" s="66"/>
    </row>
    <row r="89" spans="3:12" ht="15.75">
      <c r="C89" s="66"/>
      <c r="D89" s="66"/>
      <c r="E89" s="66"/>
      <c r="F89" s="66"/>
      <c r="G89" s="66"/>
      <c r="H89" s="66"/>
      <c r="I89" s="66"/>
      <c r="J89" s="66"/>
      <c r="K89" s="66"/>
      <c r="L89" s="66"/>
    </row>
    <row r="90" spans="3:12" ht="15.75">
      <c r="C90" s="66"/>
      <c r="D90" s="66"/>
      <c r="E90" s="66"/>
      <c r="F90" s="66"/>
      <c r="G90" s="66"/>
      <c r="H90" s="66"/>
      <c r="I90" s="66"/>
      <c r="J90" s="66"/>
      <c r="K90" s="66"/>
      <c r="L90" s="66"/>
    </row>
    <row r="91" spans="3:12" ht="15.75">
      <c r="C91" s="66"/>
      <c r="D91" s="66"/>
      <c r="E91" s="66"/>
      <c r="F91" s="66"/>
      <c r="G91" s="66"/>
      <c r="H91" s="66"/>
      <c r="I91" s="66"/>
      <c r="J91" s="66"/>
      <c r="K91" s="66"/>
      <c r="L91" s="66"/>
    </row>
    <row r="92" spans="3:12" ht="15.75">
      <c r="C92" s="66"/>
      <c r="D92" s="66"/>
      <c r="E92" s="66"/>
      <c r="F92" s="66"/>
      <c r="G92" s="66"/>
      <c r="H92" s="66"/>
      <c r="I92" s="66"/>
      <c r="J92" s="66"/>
      <c r="K92" s="66"/>
      <c r="L92" s="66"/>
    </row>
    <row r="93" spans="3:12" ht="15.75">
      <c r="C93" s="66"/>
      <c r="D93" s="66"/>
      <c r="E93" s="66"/>
      <c r="F93" s="66"/>
      <c r="G93" s="66"/>
      <c r="H93" s="66"/>
      <c r="I93" s="66"/>
      <c r="J93" s="66"/>
      <c r="K93" s="66"/>
      <c r="L93" s="66"/>
    </row>
    <row r="94" spans="3:12" ht="15.75">
      <c r="C94" s="66"/>
      <c r="D94" s="66"/>
      <c r="E94" s="66"/>
      <c r="F94" s="66"/>
      <c r="G94" s="66"/>
      <c r="H94" s="66"/>
      <c r="I94" s="66"/>
      <c r="J94" s="66"/>
      <c r="K94" s="66"/>
      <c r="L94" s="66"/>
    </row>
    <row r="95" spans="3:12" ht="15.75">
      <c r="C95" s="66"/>
      <c r="D95" s="66"/>
      <c r="E95" s="66"/>
      <c r="F95" s="66"/>
      <c r="G95" s="66"/>
      <c r="H95" s="66"/>
      <c r="I95" s="66"/>
      <c r="J95" s="66"/>
      <c r="K95" s="66"/>
      <c r="L95" s="66"/>
    </row>
    <row r="96" spans="3:12" ht="15.75">
      <c r="C96" s="66"/>
      <c r="D96" s="66"/>
      <c r="E96" s="66"/>
      <c r="F96" s="66"/>
      <c r="G96" s="66"/>
      <c r="H96" s="66"/>
      <c r="I96" s="66"/>
      <c r="J96" s="66"/>
      <c r="K96" s="66"/>
      <c r="L96" s="66"/>
    </row>
    <row r="97" spans="3:12" ht="15.75">
      <c r="C97" s="66"/>
      <c r="D97" s="66"/>
      <c r="E97" s="66"/>
      <c r="F97" s="66"/>
      <c r="G97" s="66"/>
      <c r="H97" s="66"/>
      <c r="I97" s="66"/>
      <c r="J97" s="66"/>
      <c r="K97" s="66"/>
      <c r="L97" s="66"/>
    </row>
    <row r="98" spans="3:12" ht="15.75">
      <c r="C98" s="66"/>
      <c r="D98" s="66"/>
      <c r="E98" s="66"/>
      <c r="F98" s="66"/>
      <c r="G98" s="66"/>
      <c r="H98" s="66"/>
      <c r="I98" s="66"/>
      <c r="J98" s="66"/>
      <c r="K98" s="66"/>
      <c r="L98" s="66"/>
    </row>
    <row r="99" spans="3:12" ht="15.75">
      <c r="C99" s="66"/>
      <c r="D99" s="66"/>
      <c r="E99" s="66"/>
      <c r="F99" s="66"/>
      <c r="G99" s="66"/>
      <c r="H99" s="66"/>
      <c r="I99" s="66"/>
      <c r="J99" s="66"/>
      <c r="K99" s="66"/>
      <c r="L99" s="66"/>
    </row>
    <row r="100" spans="3:12" ht="15.75">
      <c r="C100" s="66"/>
      <c r="D100" s="66"/>
      <c r="E100" s="66"/>
      <c r="F100" s="66"/>
      <c r="G100" s="66"/>
      <c r="H100" s="66"/>
      <c r="I100" s="66"/>
      <c r="J100" s="66"/>
      <c r="K100" s="66"/>
      <c r="L100" s="66"/>
    </row>
    <row r="101" spans="3:12" ht="15.75">
      <c r="C101" s="66"/>
      <c r="D101" s="66"/>
      <c r="E101" s="66"/>
      <c r="F101" s="66"/>
      <c r="G101" s="66"/>
      <c r="H101" s="66"/>
      <c r="I101" s="66"/>
      <c r="J101" s="66"/>
      <c r="K101" s="66"/>
      <c r="L101" s="66"/>
    </row>
    <row r="102" spans="3:12" ht="15.75">
      <c r="C102" s="66"/>
      <c r="D102" s="66"/>
      <c r="E102" s="66"/>
      <c r="F102" s="66"/>
      <c r="G102" s="66"/>
      <c r="H102" s="66"/>
      <c r="I102" s="66"/>
      <c r="J102" s="66"/>
      <c r="K102" s="66"/>
      <c r="L102" s="66"/>
    </row>
    <row r="103" spans="3:12" ht="15.75">
      <c r="C103" s="66"/>
      <c r="D103" s="66"/>
      <c r="E103" s="66"/>
      <c r="F103" s="66"/>
      <c r="G103" s="66"/>
      <c r="H103" s="66"/>
      <c r="I103" s="66"/>
      <c r="J103" s="66"/>
      <c r="K103" s="66"/>
      <c r="L103" s="66"/>
    </row>
    <row r="104" spans="3:12" ht="15.75">
      <c r="C104" s="66"/>
      <c r="D104" s="66"/>
      <c r="E104" s="66"/>
      <c r="F104" s="66"/>
      <c r="G104" s="66"/>
      <c r="H104" s="66"/>
      <c r="I104" s="66"/>
      <c r="J104" s="66"/>
      <c r="K104" s="66"/>
      <c r="L104" s="66"/>
    </row>
    <row r="105" spans="3:12" ht="15.75">
      <c r="C105" s="66"/>
      <c r="D105" s="66"/>
      <c r="E105" s="66"/>
      <c r="F105" s="66"/>
      <c r="G105" s="66"/>
      <c r="H105" s="66"/>
      <c r="I105" s="66"/>
      <c r="J105" s="66"/>
      <c r="K105" s="66"/>
      <c r="L105" s="66"/>
    </row>
    <row r="106" spans="3:12" ht="15.75">
      <c r="C106" s="66"/>
      <c r="D106" s="66"/>
      <c r="E106" s="66"/>
      <c r="F106" s="66"/>
      <c r="G106" s="66"/>
      <c r="H106" s="66"/>
      <c r="I106" s="66"/>
      <c r="J106" s="66"/>
      <c r="K106" s="66"/>
      <c r="L106" s="66"/>
    </row>
    <row r="107" spans="3:12" ht="15.75">
      <c r="C107" s="66"/>
      <c r="D107" s="66"/>
      <c r="E107" s="66"/>
      <c r="F107" s="66"/>
      <c r="G107" s="66"/>
      <c r="H107" s="66"/>
      <c r="I107" s="66"/>
      <c r="J107" s="66"/>
      <c r="K107" s="66"/>
      <c r="L107" s="66"/>
    </row>
    <row r="108" spans="3:12" ht="15.75">
      <c r="C108" s="66"/>
      <c r="D108" s="66"/>
      <c r="E108" s="66"/>
      <c r="F108" s="66"/>
      <c r="G108" s="66"/>
      <c r="H108" s="66"/>
      <c r="I108" s="66"/>
      <c r="J108" s="66"/>
      <c r="K108" s="66"/>
      <c r="L108" s="66"/>
    </row>
    <row r="109" spans="3:12" ht="15.75">
      <c r="C109" s="66"/>
      <c r="D109" s="66"/>
      <c r="E109" s="66"/>
      <c r="F109" s="66"/>
      <c r="G109" s="66"/>
      <c r="H109" s="66"/>
      <c r="I109" s="66"/>
      <c r="J109" s="66"/>
      <c r="K109" s="66"/>
      <c r="L109" s="66"/>
    </row>
    <row r="110" spans="3:12" ht="15.75">
      <c r="C110" s="66"/>
      <c r="D110" s="66"/>
      <c r="E110" s="66"/>
      <c r="F110" s="66"/>
      <c r="G110" s="66"/>
      <c r="H110" s="66"/>
      <c r="I110" s="66"/>
      <c r="J110" s="66"/>
      <c r="K110" s="66"/>
      <c r="L110" s="66"/>
    </row>
    <row r="111" spans="3:12" ht="15.75">
      <c r="C111" s="66"/>
      <c r="D111" s="66"/>
      <c r="E111" s="66"/>
      <c r="F111" s="66"/>
      <c r="G111" s="66"/>
      <c r="H111" s="66"/>
      <c r="I111" s="66"/>
      <c r="J111" s="66"/>
      <c r="K111" s="66"/>
      <c r="L111" s="66"/>
    </row>
    <row r="112" spans="3:12" ht="15.75">
      <c r="C112" s="66"/>
      <c r="D112" s="66"/>
      <c r="E112" s="66"/>
      <c r="F112" s="66"/>
      <c r="G112" s="66"/>
      <c r="H112" s="66"/>
      <c r="I112" s="66"/>
      <c r="J112" s="66"/>
      <c r="K112" s="66"/>
      <c r="L112" s="66"/>
    </row>
    <row r="113" spans="3:12" ht="15.75">
      <c r="C113" s="66"/>
      <c r="D113" s="66"/>
      <c r="E113" s="66"/>
      <c r="F113" s="66"/>
      <c r="G113" s="66"/>
      <c r="H113" s="66"/>
      <c r="I113" s="66"/>
      <c r="J113" s="66"/>
      <c r="K113" s="66"/>
      <c r="L113" s="66"/>
    </row>
    <row r="114" spans="3:12" ht="15.75">
      <c r="C114" s="66"/>
      <c r="D114" s="66"/>
      <c r="E114" s="66"/>
      <c r="F114" s="66"/>
      <c r="G114" s="66"/>
      <c r="H114" s="66"/>
      <c r="I114" s="66"/>
      <c r="J114" s="66"/>
      <c r="K114" s="66"/>
      <c r="L114" s="66"/>
    </row>
    <row r="115" spans="3:12" ht="15.75">
      <c r="C115" s="66"/>
      <c r="D115" s="66"/>
      <c r="E115" s="66"/>
      <c r="F115" s="66"/>
      <c r="G115" s="66"/>
      <c r="H115" s="66"/>
      <c r="I115" s="66"/>
      <c r="J115" s="66"/>
      <c r="K115" s="66"/>
      <c r="L115" s="66"/>
    </row>
    <row r="116" spans="3:12" ht="15.75">
      <c r="C116" s="66"/>
      <c r="D116" s="66"/>
      <c r="E116" s="66"/>
      <c r="F116" s="66"/>
      <c r="G116" s="66"/>
      <c r="H116" s="66"/>
      <c r="I116" s="66"/>
      <c r="J116" s="66"/>
      <c r="K116" s="66"/>
      <c r="L116" s="66"/>
    </row>
    <row r="117" spans="3:12" ht="15.75">
      <c r="C117" s="66"/>
      <c r="D117" s="66"/>
      <c r="E117" s="66"/>
      <c r="F117" s="66"/>
      <c r="G117" s="66"/>
      <c r="H117" s="66"/>
      <c r="I117" s="66"/>
      <c r="J117" s="66"/>
      <c r="K117" s="66"/>
      <c r="L117" s="66"/>
    </row>
    <row r="118" spans="3:12" ht="15.75">
      <c r="C118" s="66"/>
      <c r="D118" s="66"/>
      <c r="E118" s="66"/>
      <c r="F118" s="66"/>
      <c r="G118" s="66"/>
      <c r="H118" s="66"/>
      <c r="I118" s="66"/>
      <c r="J118" s="66"/>
      <c r="K118" s="66"/>
      <c r="L118" s="66"/>
    </row>
    <row r="119" spans="3:12" ht="15.75">
      <c r="C119" s="66"/>
      <c r="D119" s="66"/>
      <c r="E119" s="66"/>
      <c r="F119" s="66"/>
      <c r="G119" s="66"/>
      <c r="H119" s="66"/>
      <c r="I119" s="66"/>
      <c r="J119" s="66"/>
      <c r="K119" s="66"/>
      <c r="L119" s="66"/>
    </row>
    <row r="120" spans="3:12" ht="15.75">
      <c r="C120" s="66"/>
      <c r="D120" s="66"/>
      <c r="E120" s="66"/>
      <c r="F120" s="66"/>
      <c r="G120" s="66"/>
      <c r="H120" s="66"/>
      <c r="I120" s="66"/>
      <c r="J120" s="66"/>
      <c r="K120" s="66"/>
      <c r="L120" s="66"/>
    </row>
    <row r="121" spans="3:12" ht="15.75">
      <c r="C121" s="66"/>
      <c r="D121" s="66"/>
      <c r="E121" s="66"/>
      <c r="F121" s="66"/>
      <c r="G121" s="66"/>
      <c r="H121" s="66"/>
      <c r="I121" s="66"/>
      <c r="J121" s="66"/>
      <c r="K121" s="66"/>
      <c r="L121" s="66"/>
    </row>
    <row r="122" spans="3:12" ht="15.75">
      <c r="C122" s="66"/>
      <c r="D122" s="66"/>
      <c r="E122" s="66"/>
      <c r="F122" s="66"/>
      <c r="G122" s="66"/>
      <c r="H122" s="66"/>
      <c r="I122" s="66"/>
      <c r="J122" s="66"/>
      <c r="K122" s="66"/>
      <c r="L122" s="66"/>
    </row>
    <row r="123" spans="3:12" ht="15.75">
      <c r="C123" s="66"/>
      <c r="D123" s="66"/>
      <c r="E123" s="66"/>
      <c r="F123" s="66"/>
      <c r="G123" s="66"/>
      <c r="H123" s="66"/>
      <c r="I123" s="66"/>
      <c r="J123" s="66"/>
      <c r="K123" s="66"/>
      <c r="L123" s="66"/>
    </row>
    <row r="124" spans="3:12" ht="15.75">
      <c r="C124" s="66"/>
      <c r="D124" s="66"/>
      <c r="E124" s="66"/>
      <c r="F124" s="66"/>
      <c r="G124" s="66"/>
      <c r="H124" s="66"/>
      <c r="I124" s="66"/>
      <c r="J124" s="66"/>
      <c r="K124" s="66"/>
      <c r="L124" s="66"/>
    </row>
    <row r="125" spans="3:12" ht="15.75">
      <c r="C125" s="66"/>
      <c r="D125" s="66"/>
      <c r="E125" s="66"/>
      <c r="F125" s="66"/>
      <c r="G125" s="66"/>
      <c r="H125" s="66"/>
      <c r="I125" s="66"/>
      <c r="J125" s="66"/>
      <c r="K125" s="66"/>
      <c r="L125" s="66"/>
    </row>
    <row r="126" spans="3:12" ht="15.75">
      <c r="C126" s="66"/>
      <c r="D126" s="66"/>
      <c r="E126" s="66"/>
      <c r="F126" s="66"/>
      <c r="G126" s="66"/>
      <c r="H126" s="66"/>
      <c r="I126" s="66"/>
      <c r="J126" s="66"/>
      <c r="K126" s="66"/>
      <c r="L126" s="66"/>
    </row>
    <row r="127" spans="3:12" ht="15.75">
      <c r="C127" s="66"/>
      <c r="D127" s="66"/>
      <c r="E127" s="66"/>
      <c r="F127" s="66"/>
      <c r="G127" s="66"/>
      <c r="H127" s="66"/>
      <c r="I127" s="66"/>
      <c r="J127" s="66"/>
      <c r="K127" s="66"/>
      <c r="L127" s="66"/>
    </row>
    <row r="128" spans="3:12" ht="15.75">
      <c r="C128" s="66"/>
      <c r="D128" s="66"/>
      <c r="E128" s="66"/>
      <c r="F128" s="66"/>
      <c r="G128" s="66"/>
      <c r="H128" s="66"/>
      <c r="I128" s="66"/>
      <c r="J128" s="66"/>
      <c r="K128" s="66"/>
      <c r="L128" s="66"/>
    </row>
    <row r="129" spans="3:12" ht="15.75">
      <c r="C129" s="66"/>
      <c r="D129" s="66"/>
      <c r="E129" s="66"/>
      <c r="F129" s="66"/>
      <c r="G129" s="66"/>
      <c r="H129" s="66"/>
      <c r="I129" s="66"/>
      <c r="J129" s="66"/>
      <c r="K129" s="66"/>
      <c r="L129" s="66"/>
    </row>
    <row r="130" spans="3:12" ht="15.75">
      <c r="C130" s="66"/>
      <c r="D130" s="66"/>
      <c r="E130" s="66"/>
      <c r="F130" s="66"/>
      <c r="G130" s="66"/>
      <c r="H130" s="66"/>
      <c r="I130" s="66"/>
      <c r="J130" s="66"/>
      <c r="K130" s="66"/>
      <c r="L130" s="66"/>
    </row>
    <row r="131" spans="3:12" ht="15.75">
      <c r="C131" s="66"/>
      <c r="D131" s="66"/>
      <c r="E131" s="66"/>
      <c r="F131" s="66"/>
      <c r="G131" s="66"/>
      <c r="H131" s="66"/>
      <c r="I131" s="66"/>
      <c r="J131" s="66"/>
      <c r="K131" s="66"/>
      <c r="L131" s="66"/>
    </row>
    <row r="132" spans="3:12" ht="15.75">
      <c r="C132" s="66"/>
      <c r="D132" s="66"/>
      <c r="E132" s="66"/>
      <c r="F132" s="66"/>
      <c r="G132" s="66"/>
      <c r="H132" s="66"/>
      <c r="I132" s="66"/>
      <c r="J132" s="66"/>
      <c r="K132" s="66"/>
      <c r="L132" s="66"/>
    </row>
    <row r="133" spans="3:12" ht="15.75">
      <c r="C133" s="66"/>
      <c r="D133" s="66"/>
      <c r="E133" s="66"/>
      <c r="F133" s="66"/>
      <c r="G133" s="66"/>
      <c r="H133" s="66"/>
      <c r="I133" s="66"/>
      <c r="J133" s="66"/>
      <c r="K133" s="66"/>
      <c r="L133" s="66"/>
    </row>
    <row r="134" spans="3:12" ht="15.75">
      <c r="C134" s="66"/>
      <c r="D134" s="66"/>
      <c r="E134" s="66"/>
      <c r="F134" s="66"/>
      <c r="G134" s="66"/>
      <c r="H134" s="66"/>
      <c r="I134" s="66"/>
      <c r="J134" s="66"/>
      <c r="K134" s="66"/>
      <c r="L134" s="66"/>
    </row>
    <row r="135" spans="3:12" ht="15.75">
      <c r="C135" s="66"/>
      <c r="D135" s="66"/>
      <c r="E135" s="66"/>
      <c r="F135" s="66"/>
      <c r="G135" s="66"/>
      <c r="H135" s="66"/>
      <c r="I135" s="66"/>
      <c r="J135" s="66"/>
      <c r="K135" s="66"/>
      <c r="L135" s="66"/>
    </row>
    <row r="136" spans="3:12" ht="15.75">
      <c r="C136" s="66"/>
      <c r="D136" s="66"/>
      <c r="E136" s="66"/>
      <c r="F136" s="66"/>
      <c r="G136" s="66"/>
      <c r="H136" s="66"/>
      <c r="I136" s="66"/>
      <c r="J136" s="66"/>
      <c r="K136" s="66"/>
      <c r="L136" s="66"/>
    </row>
    <row r="137" spans="3:12" ht="15.75">
      <c r="C137" s="66"/>
      <c r="D137" s="66"/>
      <c r="E137" s="66"/>
      <c r="F137" s="66"/>
      <c r="G137" s="66"/>
      <c r="H137" s="66"/>
      <c r="I137" s="66"/>
      <c r="J137" s="66"/>
      <c r="K137" s="66"/>
      <c r="L137" s="66"/>
    </row>
    <row r="138" spans="3:12" ht="15.75">
      <c r="C138" s="66"/>
      <c r="D138" s="66"/>
      <c r="E138" s="66"/>
      <c r="F138" s="66"/>
      <c r="G138" s="66"/>
      <c r="H138" s="66"/>
      <c r="I138" s="66"/>
      <c r="J138" s="66"/>
      <c r="K138" s="66"/>
      <c r="L138" s="66"/>
    </row>
    <row r="139" spans="3:12" ht="15.75">
      <c r="C139" s="66"/>
      <c r="D139" s="66"/>
      <c r="E139" s="66"/>
      <c r="F139" s="66"/>
      <c r="G139" s="66"/>
      <c r="H139" s="66"/>
      <c r="I139" s="66"/>
      <c r="J139" s="66"/>
      <c r="K139" s="66"/>
      <c r="L139" s="66"/>
    </row>
    <row r="140" spans="3:12" ht="15.75">
      <c r="C140" s="66"/>
      <c r="D140" s="66"/>
      <c r="E140" s="66"/>
      <c r="F140" s="66"/>
      <c r="G140" s="66"/>
      <c r="H140" s="66"/>
      <c r="I140" s="66"/>
      <c r="J140" s="66"/>
      <c r="K140" s="66"/>
      <c r="L140" s="66"/>
    </row>
    <row r="141" spans="3:12" ht="15.75">
      <c r="C141" s="66"/>
      <c r="D141" s="66"/>
      <c r="E141" s="66"/>
      <c r="F141" s="66"/>
      <c r="G141" s="66"/>
      <c r="H141" s="66"/>
      <c r="I141" s="66"/>
      <c r="J141" s="66"/>
      <c r="K141" s="66"/>
      <c r="L141" s="66"/>
    </row>
    <row r="142" spans="3:12" ht="15.75">
      <c r="C142" s="66"/>
      <c r="D142" s="66"/>
      <c r="E142" s="66"/>
      <c r="F142" s="66"/>
      <c r="G142" s="66"/>
      <c r="H142" s="66"/>
      <c r="I142" s="66"/>
      <c r="J142" s="66"/>
      <c r="K142" s="66"/>
      <c r="L142" s="66"/>
    </row>
    <row r="143" spans="3:12" ht="15.75">
      <c r="C143" s="66"/>
      <c r="D143" s="66"/>
      <c r="E143" s="66"/>
      <c r="F143" s="66"/>
      <c r="G143" s="66"/>
      <c r="H143" s="66"/>
      <c r="I143" s="66"/>
      <c r="J143" s="66"/>
      <c r="K143" s="66"/>
      <c r="L143" s="66"/>
    </row>
    <row r="144" spans="3:12" ht="15.75">
      <c r="C144" s="66"/>
      <c r="D144" s="66"/>
      <c r="E144" s="66"/>
      <c r="F144" s="66"/>
      <c r="G144" s="66"/>
      <c r="H144" s="66"/>
      <c r="I144" s="66"/>
      <c r="J144" s="66"/>
      <c r="K144" s="66"/>
      <c r="L144" s="66"/>
    </row>
    <row r="145" spans="3:12" ht="15.75">
      <c r="C145" s="66"/>
      <c r="D145" s="66"/>
      <c r="E145" s="66"/>
      <c r="F145" s="66"/>
      <c r="G145" s="66"/>
      <c r="H145" s="66"/>
      <c r="I145" s="66"/>
      <c r="J145" s="66"/>
      <c r="K145" s="66"/>
      <c r="L145" s="66"/>
    </row>
    <row r="146" spans="3:12" ht="15.75">
      <c r="C146" s="66"/>
      <c r="D146" s="66"/>
      <c r="E146" s="66"/>
      <c r="F146" s="66"/>
      <c r="G146" s="66"/>
      <c r="H146" s="66"/>
      <c r="I146" s="66"/>
      <c r="J146" s="66"/>
      <c r="K146" s="66"/>
      <c r="L146" s="66"/>
    </row>
    <row r="147" spans="3:12" ht="15.75">
      <c r="C147" s="66"/>
      <c r="D147" s="66"/>
      <c r="E147" s="66"/>
      <c r="F147" s="66"/>
      <c r="G147" s="66"/>
      <c r="H147" s="66"/>
      <c r="I147" s="66"/>
      <c r="J147" s="66"/>
      <c r="K147" s="66"/>
      <c r="L147" s="66"/>
    </row>
    <row r="148" spans="3:12" ht="15.75">
      <c r="C148" s="66"/>
      <c r="D148" s="66"/>
      <c r="E148" s="66"/>
      <c r="F148" s="66"/>
      <c r="G148" s="66"/>
      <c r="H148" s="66"/>
      <c r="I148" s="66"/>
      <c r="J148" s="66"/>
      <c r="K148" s="66"/>
      <c r="L148" s="66"/>
    </row>
    <row r="149" spans="3:12" ht="15.75">
      <c r="C149" s="66"/>
      <c r="D149" s="66"/>
      <c r="E149" s="66"/>
      <c r="F149" s="66"/>
      <c r="G149" s="66"/>
      <c r="H149" s="66"/>
      <c r="I149" s="66"/>
      <c r="J149" s="66"/>
      <c r="K149" s="66"/>
      <c r="L149" s="66"/>
    </row>
    <row r="150" spans="3:12" ht="15.75">
      <c r="C150" s="66"/>
      <c r="D150" s="66"/>
      <c r="E150" s="66"/>
      <c r="F150" s="66"/>
      <c r="G150" s="66"/>
      <c r="H150" s="66"/>
      <c r="I150" s="66"/>
      <c r="J150" s="66"/>
      <c r="K150" s="66"/>
      <c r="L150" s="66"/>
    </row>
    <row r="151" spans="3:12" ht="15.75">
      <c r="C151" s="66"/>
      <c r="D151" s="66"/>
      <c r="E151" s="66"/>
      <c r="F151" s="66"/>
      <c r="G151" s="66"/>
      <c r="H151" s="66"/>
      <c r="I151" s="66"/>
      <c r="J151" s="66"/>
      <c r="K151" s="66"/>
      <c r="L151" s="66"/>
    </row>
    <row r="152" spans="3:12" ht="15.75">
      <c r="C152" s="66"/>
      <c r="D152" s="66"/>
      <c r="E152" s="66"/>
      <c r="F152" s="66"/>
      <c r="G152" s="66"/>
      <c r="H152" s="66"/>
      <c r="I152" s="66"/>
      <c r="J152" s="66"/>
      <c r="K152" s="66"/>
      <c r="L152" s="66"/>
    </row>
    <row r="153" spans="3:12" ht="15.75">
      <c r="C153" s="66"/>
      <c r="D153" s="66"/>
      <c r="E153" s="66"/>
      <c r="F153" s="66"/>
      <c r="G153" s="66"/>
      <c r="H153" s="66"/>
      <c r="I153" s="66"/>
      <c r="J153" s="66"/>
      <c r="K153" s="66"/>
      <c r="L153" s="66"/>
    </row>
    <row r="154" spans="3:12" ht="15.75">
      <c r="C154" s="66"/>
      <c r="D154" s="66"/>
      <c r="E154" s="66"/>
      <c r="F154" s="66"/>
      <c r="G154" s="66"/>
      <c r="H154" s="66"/>
      <c r="I154" s="66"/>
      <c r="J154" s="66"/>
      <c r="K154" s="66"/>
      <c r="L154" s="66"/>
    </row>
    <row r="155" spans="3:12" ht="15.75">
      <c r="C155" s="66"/>
      <c r="D155" s="66"/>
      <c r="E155" s="66"/>
      <c r="F155" s="66"/>
      <c r="G155" s="66"/>
      <c r="H155" s="66"/>
      <c r="I155" s="66"/>
      <c r="J155" s="66"/>
      <c r="K155" s="66"/>
      <c r="L155" s="66"/>
    </row>
    <row r="156" spans="3:12" ht="15.75">
      <c r="C156" s="66"/>
      <c r="D156" s="66"/>
      <c r="E156" s="66"/>
      <c r="F156" s="66"/>
      <c r="G156" s="66"/>
      <c r="H156" s="66"/>
      <c r="I156" s="66"/>
      <c r="J156" s="66"/>
      <c r="K156" s="66"/>
      <c r="L156" s="66"/>
    </row>
    <row r="157" spans="3:12" ht="15.75">
      <c r="C157" s="66"/>
      <c r="D157" s="66"/>
      <c r="E157" s="66"/>
      <c r="F157" s="66"/>
      <c r="G157" s="66"/>
      <c r="H157" s="66"/>
      <c r="I157" s="66"/>
      <c r="J157" s="66"/>
      <c r="K157" s="66"/>
      <c r="L157" s="66"/>
    </row>
    <row r="158" spans="3:12" ht="15.75">
      <c r="C158" s="66"/>
      <c r="D158" s="66"/>
      <c r="E158" s="66"/>
      <c r="F158" s="66"/>
      <c r="G158" s="66"/>
      <c r="H158" s="66"/>
      <c r="I158" s="66"/>
      <c r="J158" s="66"/>
      <c r="K158" s="66"/>
      <c r="L158" s="66"/>
    </row>
    <row r="159" spans="3:12" ht="15.75">
      <c r="C159" s="66"/>
      <c r="D159" s="66"/>
      <c r="E159" s="66"/>
      <c r="F159" s="66"/>
      <c r="G159" s="66"/>
      <c r="H159" s="66"/>
      <c r="I159" s="66"/>
      <c r="J159" s="66"/>
      <c r="K159" s="66"/>
      <c r="L159" s="66"/>
    </row>
    <row r="160" spans="3:12" ht="15.75">
      <c r="C160" s="66"/>
      <c r="D160" s="66"/>
      <c r="E160" s="66"/>
      <c r="F160" s="66"/>
      <c r="G160" s="66"/>
      <c r="H160" s="66"/>
      <c r="I160" s="66"/>
      <c r="J160" s="66"/>
      <c r="K160" s="66"/>
      <c r="L160" s="66"/>
    </row>
    <row r="161" spans="3:12" ht="15.75">
      <c r="C161" s="66"/>
      <c r="D161" s="66"/>
      <c r="E161" s="66"/>
      <c r="F161" s="66"/>
      <c r="G161" s="66"/>
      <c r="H161" s="66"/>
      <c r="I161" s="66"/>
      <c r="J161" s="66"/>
      <c r="K161" s="66"/>
      <c r="L161" s="66"/>
    </row>
    <row r="162" spans="3:12" ht="15.75">
      <c r="C162" s="66"/>
      <c r="D162" s="66"/>
      <c r="E162" s="66"/>
      <c r="F162" s="66"/>
      <c r="G162" s="66"/>
      <c r="H162" s="66"/>
      <c r="I162" s="66"/>
      <c r="J162" s="66"/>
      <c r="K162" s="66"/>
      <c r="L162" s="66"/>
    </row>
    <row r="163" spans="3:12" ht="15.75">
      <c r="C163" s="66"/>
      <c r="D163" s="66"/>
      <c r="E163" s="66"/>
      <c r="F163" s="66"/>
      <c r="G163" s="66"/>
      <c r="H163" s="66"/>
      <c r="I163" s="66"/>
      <c r="J163" s="66"/>
      <c r="K163" s="66"/>
      <c r="L163" s="66"/>
    </row>
    <row r="164" spans="3:12" ht="15.75">
      <c r="C164" s="66"/>
      <c r="D164" s="66"/>
      <c r="E164" s="66"/>
      <c r="F164" s="66"/>
      <c r="G164" s="66"/>
      <c r="H164" s="66"/>
      <c r="I164" s="66"/>
      <c r="J164" s="66"/>
      <c r="K164" s="66"/>
      <c r="L164" s="66"/>
    </row>
    <row r="165" spans="3:12" ht="15.75">
      <c r="C165" s="66"/>
      <c r="D165" s="66"/>
      <c r="E165" s="66"/>
      <c r="F165" s="66"/>
      <c r="G165" s="66"/>
      <c r="H165" s="66"/>
      <c r="I165" s="66"/>
      <c r="J165" s="66"/>
      <c r="K165" s="66"/>
      <c r="L165" s="66"/>
    </row>
    <row r="166" spans="3:12" ht="15.75">
      <c r="C166" s="66"/>
      <c r="D166" s="66"/>
      <c r="E166" s="66"/>
      <c r="F166" s="66"/>
      <c r="G166" s="66"/>
      <c r="H166" s="66"/>
      <c r="I166" s="66"/>
      <c r="J166" s="66"/>
      <c r="K166" s="66"/>
      <c r="L166" s="66"/>
    </row>
    <row r="167" spans="3:12" ht="15.75">
      <c r="C167" s="66"/>
      <c r="D167" s="66"/>
      <c r="E167" s="66"/>
      <c r="F167" s="66"/>
      <c r="G167" s="66"/>
      <c r="H167" s="66"/>
      <c r="I167" s="66"/>
      <c r="J167" s="66"/>
      <c r="K167" s="66"/>
      <c r="L167" s="66"/>
    </row>
    <row r="168" spans="3:12" ht="15.75">
      <c r="C168" s="66"/>
      <c r="D168" s="66"/>
      <c r="E168" s="66"/>
      <c r="F168" s="66"/>
      <c r="G168" s="66"/>
      <c r="H168" s="66"/>
      <c r="I168" s="66"/>
      <c r="J168" s="66"/>
      <c r="K168" s="66"/>
      <c r="L168" s="66"/>
    </row>
    <row r="169" spans="3:12" ht="15.75">
      <c r="C169" s="66"/>
      <c r="D169" s="66"/>
      <c r="E169" s="66"/>
      <c r="F169" s="66"/>
      <c r="G169" s="66"/>
      <c r="H169" s="66"/>
      <c r="I169" s="66"/>
      <c r="J169" s="66"/>
      <c r="K169" s="66"/>
      <c r="L169" s="66"/>
    </row>
    <row r="170" spans="3:12" ht="15.75">
      <c r="C170" s="66"/>
      <c r="D170" s="66"/>
      <c r="E170" s="66"/>
      <c r="F170" s="66"/>
      <c r="G170" s="66"/>
      <c r="H170" s="66"/>
      <c r="I170" s="66"/>
      <c r="J170" s="66"/>
      <c r="K170" s="66"/>
      <c r="L170" s="66"/>
    </row>
    <row r="171" spans="3:12" ht="15.75">
      <c r="C171" s="66"/>
      <c r="D171" s="66"/>
      <c r="E171" s="66"/>
      <c r="F171" s="66"/>
      <c r="G171" s="66"/>
      <c r="H171" s="66"/>
      <c r="I171" s="66"/>
      <c r="J171" s="66"/>
      <c r="K171" s="66"/>
      <c r="L171" s="66"/>
    </row>
    <row r="172" spans="3:12" ht="15.75">
      <c r="C172" s="66"/>
      <c r="D172" s="66"/>
      <c r="E172" s="66"/>
      <c r="F172" s="66"/>
      <c r="G172" s="66"/>
      <c r="H172" s="66"/>
      <c r="I172" s="66"/>
      <c r="J172" s="66"/>
      <c r="K172" s="66"/>
      <c r="L172" s="66"/>
    </row>
    <row r="173" spans="3:12" ht="15.75">
      <c r="C173" s="66"/>
      <c r="D173" s="66"/>
      <c r="E173" s="66"/>
      <c r="F173" s="66"/>
      <c r="G173" s="66"/>
      <c r="H173" s="66"/>
      <c r="I173" s="66"/>
      <c r="J173" s="66"/>
      <c r="K173" s="66"/>
      <c r="L173" s="66"/>
    </row>
    <row r="174" spans="3:12" ht="15.75">
      <c r="C174" s="66"/>
      <c r="D174" s="66"/>
      <c r="E174" s="66"/>
      <c r="F174" s="66"/>
      <c r="G174" s="66"/>
      <c r="H174" s="66"/>
      <c r="I174" s="66"/>
      <c r="J174" s="66"/>
      <c r="K174" s="66"/>
      <c r="L174" s="66"/>
    </row>
    <row r="175" spans="3:12" ht="15.75">
      <c r="C175" s="66"/>
      <c r="D175" s="66"/>
      <c r="E175" s="66"/>
      <c r="F175" s="66"/>
      <c r="G175" s="66"/>
      <c r="H175" s="66"/>
      <c r="I175" s="66"/>
      <c r="J175" s="66"/>
      <c r="K175" s="66"/>
      <c r="L175" s="66"/>
    </row>
    <row r="176" spans="3:12" ht="15.75">
      <c r="C176" s="66"/>
      <c r="D176" s="66"/>
      <c r="E176" s="66"/>
      <c r="F176" s="66"/>
      <c r="G176" s="66"/>
      <c r="H176" s="66"/>
      <c r="I176" s="66"/>
      <c r="J176" s="66"/>
      <c r="K176" s="66"/>
      <c r="L176" s="66"/>
    </row>
    <row r="177" spans="3:12" ht="15.75">
      <c r="C177" s="66"/>
      <c r="D177" s="66"/>
      <c r="E177" s="66"/>
      <c r="F177" s="66"/>
      <c r="G177" s="66"/>
      <c r="H177" s="66"/>
      <c r="I177" s="66"/>
      <c r="J177" s="66"/>
      <c r="K177" s="66"/>
      <c r="L177" s="66"/>
    </row>
    <row r="178" spans="3:12" ht="15.75">
      <c r="C178" s="66"/>
      <c r="D178" s="66"/>
      <c r="E178" s="66"/>
      <c r="F178" s="66"/>
      <c r="G178" s="66"/>
      <c r="H178" s="66"/>
      <c r="I178" s="66"/>
      <c r="J178" s="66"/>
      <c r="K178" s="66"/>
      <c r="L178" s="66"/>
    </row>
    <row r="179" spans="3:12" ht="15.75">
      <c r="C179" s="66"/>
      <c r="D179" s="66"/>
      <c r="E179" s="66"/>
      <c r="F179" s="66"/>
      <c r="G179" s="66"/>
      <c r="H179" s="66"/>
      <c r="I179" s="66"/>
      <c r="J179" s="66"/>
      <c r="K179" s="66"/>
      <c r="L179" s="66"/>
    </row>
    <row r="180" spans="3:12" ht="15.75">
      <c r="C180" s="66"/>
      <c r="D180" s="66"/>
      <c r="E180" s="66"/>
      <c r="F180" s="66"/>
      <c r="G180" s="66"/>
      <c r="H180" s="66"/>
      <c r="I180" s="66"/>
      <c r="J180" s="66"/>
      <c r="K180" s="66"/>
      <c r="L180" s="66"/>
    </row>
    <row r="181" spans="3:12" ht="15.75">
      <c r="C181" s="66"/>
      <c r="D181" s="66"/>
      <c r="E181" s="66"/>
      <c r="F181" s="66"/>
      <c r="G181" s="66"/>
      <c r="H181" s="66"/>
      <c r="I181" s="66"/>
      <c r="J181" s="66"/>
      <c r="K181" s="66"/>
      <c r="L181" s="66"/>
    </row>
    <row r="182" spans="3:12" ht="15.75">
      <c r="C182" s="66"/>
      <c r="D182" s="66"/>
      <c r="E182" s="66"/>
      <c r="F182" s="66"/>
      <c r="G182" s="66"/>
      <c r="H182" s="66"/>
      <c r="I182" s="66"/>
      <c r="J182" s="66"/>
      <c r="K182" s="66"/>
      <c r="L182" s="66"/>
    </row>
    <row r="183" spans="3:12" ht="15.75">
      <c r="C183" s="66"/>
      <c r="D183" s="66"/>
      <c r="E183" s="66"/>
      <c r="F183" s="66"/>
      <c r="G183" s="66"/>
      <c r="H183" s="66"/>
      <c r="I183" s="66"/>
      <c r="J183" s="66"/>
      <c r="K183" s="66"/>
      <c r="L183" s="66"/>
    </row>
    <row r="184" spans="3:12" ht="15.75">
      <c r="C184" s="66"/>
      <c r="D184" s="66"/>
      <c r="E184" s="66"/>
      <c r="F184" s="66"/>
      <c r="G184" s="66"/>
      <c r="H184" s="66"/>
      <c r="I184" s="66"/>
      <c r="J184" s="66"/>
      <c r="K184" s="66"/>
      <c r="L184" s="66"/>
    </row>
    <row r="185" spans="3:12" ht="15.75">
      <c r="C185" s="66"/>
      <c r="D185" s="66"/>
      <c r="E185" s="66"/>
      <c r="F185" s="66"/>
      <c r="G185" s="66"/>
      <c r="H185" s="66"/>
      <c r="I185" s="66"/>
      <c r="J185" s="66"/>
      <c r="K185" s="66"/>
      <c r="L185" s="66"/>
    </row>
    <row r="186" spans="3:12" ht="15.75">
      <c r="C186" s="66"/>
      <c r="D186" s="66"/>
      <c r="E186" s="66"/>
      <c r="F186" s="66"/>
      <c r="G186" s="66"/>
      <c r="H186" s="66"/>
      <c r="I186" s="66"/>
      <c r="J186" s="66"/>
      <c r="K186" s="66"/>
      <c r="L186" s="66"/>
    </row>
    <row r="187" spans="3:12" ht="15.75">
      <c r="C187" s="66"/>
      <c r="D187" s="66"/>
      <c r="E187" s="66"/>
      <c r="F187" s="66"/>
      <c r="G187" s="66"/>
      <c r="H187" s="66"/>
      <c r="I187" s="66"/>
      <c r="J187" s="66"/>
      <c r="K187" s="66"/>
      <c r="L187" s="66"/>
    </row>
    <row r="188" spans="3:12" ht="15.75">
      <c r="C188" s="66"/>
      <c r="D188" s="66"/>
      <c r="E188" s="66"/>
      <c r="F188" s="66"/>
      <c r="G188" s="66"/>
      <c r="H188" s="66"/>
      <c r="I188" s="66"/>
      <c r="J188" s="66"/>
      <c r="K188" s="66"/>
      <c r="L188" s="66"/>
    </row>
    <row r="189" spans="3:12" ht="15.75">
      <c r="C189" s="66"/>
      <c r="D189" s="66"/>
      <c r="E189" s="66"/>
      <c r="F189" s="66"/>
      <c r="G189" s="66"/>
      <c r="H189" s="66"/>
      <c r="I189" s="66"/>
      <c r="J189" s="66"/>
      <c r="K189" s="66"/>
      <c r="L189" s="66"/>
    </row>
    <row r="190" spans="3:12" ht="15.75">
      <c r="C190" s="66"/>
      <c r="D190" s="66"/>
      <c r="E190" s="66"/>
      <c r="F190" s="66"/>
      <c r="G190" s="66"/>
      <c r="H190" s="66"/>
      <c r="I190" s="66"/>
      <c r="J190" s="66"/>
      <c r="K190" s="66"/>
      <c r="L190" s="66"/>
    </row>
    <row r="191" spans="3:12" ht="15.75">
      <c r="C191" s="66"/>
      <c r="D191" s="66"/>
      <c r="E191" s="66"/>
      <c r="F191" s="66"/>
      <c r="G191" s="66"/>
      <c r="H191" s="66"/>
      <c r="I191" s="66"/>
      <c r="J191" s="66"/>
      <c r="K191" s="66"/>
      <c r="L191" s="66"/>
    </row>
    <row r="192" spans="3:12" ht="15.75">
      <c r="C192" s="66"/>
      <c r="D192" s="66"/>
      <c r="E192" s="66"/>
      <c r="F192" s="66"/>
      <c r="G192" s="66"/>
      <c r="H192" s="66"/>
      <c r="I192" s="66"/>
      <c r="J192" s="66"/>
      <c r="K192" s="66"/>
      <c r="L192" s="66"/>
    </row>
    <row r="193" spans="3:12" ht="15.75">
      <c r="C193" s="66"/>
      <c r="D193" s="66"/>
      <c r="E193" s="66"/>
      <c r="F193" s="66"/>
      <c r="G193" s="66"/>
      <c r="H193" s="66"/>
      <c r="I193" s="66"/>
      <c r="J193" s="66"/>
      <c r="K193" s="66"/>
      <c r="L193" s="66"/>
    </row>
    <row r="194" spans="3:12" ht="15.75">
      <c r="C194" s="66"/>
      <c r="D194" s="66"/>
      <c r="E194" s="66"/>
      <c r="F194" s="66"/>
      <c r="G194" s="66"/>
      <c r="H194" s="66"/>
      <c r="I194" s="66"/>
      <c r="J194" s="66"/>
      <c r="K194" s="66"/>
      <c r="L194" s="66"/>
    </row>
    <row r="195" spans="3:12" ht="15.75">
      <c r="C195" s="66"/>
      <c r="D195" s="66"/>
      <c r="E195" s="66"/>
      <c r="F195" s="66"/>
      <c r="G195" s="66"/>
      <c r="H195" s="66"/>
      <c r="I195" s="66"/>
      <c r="J195" s="66"/>
      <c r="K195" s="66"/>
      <c r="L195" s="66"/>
    </row>
    <row r="196" spans="3:12" ht="15.75">
      <c r="C196" s="66"/>
      <c r="D196" s="66"/>
      <c r="E196" s="66"/>
      <c r="F196" s="66"/>
      <c r="G196" s="66"/>
      <c r="H196" s="66"/>
      <c r="I196" s="66"/>
      <c r="J196" s="66"/>
      <c r="K196" s="66"/>
      <c r="L196" s="66"/>
    </row>
    <row r="197" spans="3:12" ht="15.75">
      <c r="C197" s="66"/>
      <c r="D197" s="66"/>
      <c r="E197" s="66"/>
      <c r="F197" s="66"/>
      <c r="G197" s="66"/>
      <c r="H197" s="66"/>
      <c r="I197" s="66"/>
      <c r="J197" s="66"/>
      <c r="K197" s="66"/>
      <c r="L197" s="66"/>
    </row>
    <row r="198" spans="3:12" ht="15.75">
      <c r="C198" s="66"/>
      <c r="D198" s="66"/>
      <c r="E198" s="66"/>
      <c r="F198" s="66"/>
      <c r="G198" s="66"/>
      <c r="H198" s="66"/>
      <c r="I198" s="66"/>
      <c r="J198" s="66"/>
      <c r="K198" s="66"/>
      <c r="L198" s="66"/>
    </row>
    <row r="199" spans="3:12" ht="15.75">
      <c r="C199" s="66"/>
      <c r="D199" s="66"/>
      <c r="E199" s="66"/>
      <c r="F199" s="66"/>
      <c r="G199" s="66"/>
      <c r="H199" s="66"/>
      <c r="I199" s="66"/>
      <c r="J199" s="66"/>
      <c r="K199" s="66"/>
      <c r="L199" s="66"/>
    </row>
    <row r="200" spans="3:12" ht="15.75">
      <c r="C200" s="66"/>
      <c r="D200" s="66"/>
      <c r="E200" s="66"/>
      <c r="F200" s="66"/>
      <c r="G200" s="66"/>
      <c r="H200" s="66"/>
      <c r="I200" s="66"/>
      <c r="J200" s="66"/>
      <c r="K200" s="66"/>
      <c r="L200" s="66"/>
    </row>
    <row r="201" spans="3:12" ht="15.75">
      <c r="C201" s="66"/>
      <c r="D201" s="66"/>
      <c r="E201" s="66"/>
      <c r="F201" s="66"/>
      <c r="G201" s="66"/>
      <c r="H201" s="66"/>
      <c r="I201" s="66"/>
      <c r="J201" s="66"/>
      <c r="K201" s="66"/>
      <c r="L201" s="66"/>
    </row>
    <row r="202" spans="3:12" ht="15.75">
      <c r="C202" s="66"/>
      <c r="D202" s="66"/>
      <c r="E202" s="66"/>
      <c r="F202" s="66"/>
      <c r="G202" s="66"/>
      <c r="H202" s="66"/>
      <c r="I202" s="66"/>
      <c r="J202" s="66"/>
      <c r="K202" s="66"/>
      <c r="L202" s="66"/>
    </row>
    <row r="203" spans="3:12" ht="15.75">
      <c r="C203" s="66"/>
      <c r="D203" s="66"/>
      <c r="E203" s="66"/>
      <c r="F203" s="66"/>
      <c r="G203" s="66"/>
      <c r="H203" s="66"/>
      <c r="I203" s="66"/>
      <c r="J203" s="66"/>
      <c r="K203" s="66"/>
      <c r="L203" s="66"/>
    </row>
    <row r="204" spans="3:12" ht="15.75">
      <c r="C204" s="66"/>
      <c r="D204" s="66"/>
      <c r="E204" s="66"/>
      <c r="F204" s="66"/>
      <c r="G204" s="66"/>
      <c r="H204" s="66"/>
      <c r="I204" s="66"/>
      <c r="J204" s="66"/>
      <c r="K204" s="66"/>
      <c r="L204" s="66"/>
    </row>
    <row r="205" spans="3:12" ht="15.75">
      <c r="C205" s="66"/>
      <c r="D205" s="66"/>
      <c r="E205" s="66"/>
      <c r="F205" s="66"/>
      <c r="G205" s="66"/>
      <c r="H205" s="66"/>
      <c r="I205" s="66"/>
      <c r="J205" s="66"/>
      <c r="K205" s="66"/>
      <c r="L205" s="66"/>
    </row>
    <row r="206" spans="3:12" ht="15.75">
      <c r="C206" s="66"/>
      <c r="D206" s="66"/>
      <c r="E206" s="66"/>
      <c r="F206" s="66"/>
      <c r="G206" s="66"/>
      <c r="H206" s="66"/>
      <c r="I206" s="66"/>
      <c r="J206" s="66"/>
      <c r="K206" s="66"/>
      <c r="L206" s="66"/>
    </row>
    <row r="207" spans="3:12" ht="15.75">
      <c r="C207" s="66"/>
      <c r="D207" s="66"/>
      <c r="E207" s="66"/>
      <c r="F207" s="66"/>
      <c r="G207" s="66"/>
      <c r="H207" s="66"/>
      <c r="I207" s="66"/>
      <c r="J207" s="66"/>
      <c r="K207" s="66"/>
      <c r="L207" s="66"/>
    </row>
    <row r="208" spans="3:12" ht="15.75">
      <c r="C208" s="66"/>
      <c r="D208" s="66"/>
      <c r="E208" s="66"/>
      <c r="F208" s="66"/>
      <c r="G208" s="66"/>
      <c r="H208" s="66"/>
      <c r="I208" s="66"/>
      <c r="J208" s="66"/>
      <c r="K208" s="66"/>
      <c r="L208" s="66"/>
    </row>
    <row r="209" spans="3:12" ht="15.75">
      <c r="C209" s="66"/>
      <c r="D209" s="66"/>
      <c r="E209" s="66"/>
      <c r="F209" s="66"/>
      <c r="G209" s="66"/>
      <c r="H209" s="66"/>
      <c r="I209" s="66"/>
      <c r="J209" s="66"/>
      <c r="K209" s="66"/>
      <c r="L209" s="66"/>
    </row>
    <row r="210" spans="3:12" ht="15.75">
      <c r="C210" s="66"/>
      <c r="D210" s="66"/>
      <c r="E210" s="66"/>
      <c r="F210" s="66"/>
      <c r="G210" s="66"/>
      <c r="H210" s="66"/>
      <c r="I210" s="66"/>
      <c r="J210" s="66"/>
      <c r="K210" s="66"/>
      <c r="L210" s="66"/>
    </row>
    <row r="211" spans="3:12" ht="15.75">
      <c r="C211" s="66"/>
      <c r="D211" s="66"/>
      <c r="E211" s="66"/>
      <c r="F211" s="66"/>
      <c r="G211" s="66"/>
      <c r="H211" s="66"/>
      <c r="I211" s="66"/>
      <c r="J211" s="66"/>
      <c r="K211" s="66"/>
      <c r="L211" s="66"/>
    </row>
    <row r="212" spans="3:12" ht="15.75">
      <c r="C212" s="66"/>
      <c r="D212" s="66"/>
      <c r="E212" s="66"/>
      <c r="F212" s="66"/>
      <c r="G212" s="66"/>
      <c r="H212" s="66"/>
      <c r="I212" s="66"/>
      <c r="J212" s="66"/>
      <c r="K212" s="66"/>
      <c r="L212" s="66"/>
    </row>
    <row r="213" spans="3:12" ht="15.75">
      <c r="C213" s="66"/>
      <c r="D213" s="66"/>
      <c r="E213" s="66"/>
      <c r="F213" s="66"/>
      <c r="G213" s="66"/>
      <c r="H213" s="66"/>
      <c r="I213" s="66"/>
      <c r="J213" s="66"/>
      <c r="K213" s="66"/>
      <c r="L213" s="66"/>
    </row>
    <row r="214" spans="3:12" ht="15.75">
      <c r="C214" s="66"/>
      <c r="D214" s="66"/>
      <c r="E214" s="66"/>
      <c r="F214" s="66"/>
      <c r="G214" s="66"/>
      <c r="H214" s="66"/>
      <c r="I214" s="66"/>
      <c r="J214" s="66"/>
      <c r="K214" s="66"/>
      <c r="L214" s="66"/>
    </row>
    <row r="215" spans="3:12" ht="15.75">
      <c r="C215" s="66"/>
      <c r="D215" s="66"/>
      <c r="E215" s="66"/>
      <c r="F215" s="66"/>
      <c r="G215" s="66"/>
      <c r="H215" s="66"/>
      <c r="I215" s="66"/>
      <c r="J215" s="66"/>
      <c r="K215" s="66"/>
      <c r="L215" s="66"/>
    </row>
    <row r="216" spans="3:12" ht="15.75">
      <c r="C216" s="66"/>
      <c r="D216" s="66"/>
      <c r="E216" s="66"/>
      <c r="F216" s="66"/>
      <c r="G216" s="66"/>
      <c r="H216" s="66"/>
      <c r="I216" s="66"/>
      <c r="J216" s="66"/>
      <c r="K216" s="66"/>
      <c r="L216" s="66"/>
    </row>
    <row r="217" spans="3:12" ht="15.75">
      <c r="C217" s="66"/>
      <c r="D217" s="66"/>
      <c r="E217" s="66"/>
      <c r="F217" s="66"/>
      <c r="G217" s="66"/>
      <c r="H217" s="66"/>
      <c r="I217" s="66"/>
      <c r="J217" s="66"/>
      <c r="K217" s="66"/>
      <c r="L217" s="66"/>
    </row>
    <row r="218" spans="3:12" ht="15.75">
      <c r="C218" s="66"/>
      <c r="D218" s="66"/>
      <c r="E218" s="66"/>
      <c r="F218" s="66"/>
      <c r="G218" s="66"/>
      <c r="H218" s="66"/>
      <c r="I218" s="66"/>
      <c r="J218" s="66"/>
      <c r="K218" s="66"/>
      <c r="L218" s="66"/>
    </row>
    <row r="219" spans="3:12" ht="15.75">
      <c r="C219" s="66"/>
      <c r="D219" s="66"/>
      <c r="E219" s="66"/>
      <c r="F219" s="66"/>
      <c r="G219" s="66"/>
      <c r="H219" s="66"/>
      <c r="I219" s="66"/>
      <c r="J219" s="66"/>
      <c r="K219" s="66"/>
      <c r="L219" s="66"/>
    </row>
    <row r="220" spans="3:12" ht="15.75">
      <c r="C220" s="66"/>
      <c r="D220" s="66"/>
      <c r="E220" s="66"/>
      <c r="F220" s="66"/>
      <c r="G220" s="66"/>
      <c r="H220" s="66"/>
      <c r="I220" s="66"/>
      <c r="J220" s="66"/>
      <c r="K220" s="66"/>
      <c r="L220" s="66"/>
    </row>
    <row r="221" spans="3:12" ht="15.75">
      <c r="C221" s="66"/>
      <c r="D221" s="66"/>
      <c r="E221" s="66"/>
      <c r="F221" s="66"/>
      <c r="G221" s="66"/>
      <c r="H221" s="66"/>
      <c r="I221" s="66"/>
      <c r="J221" s="66"/>
      <c r="K221" s="66"/>
      <c r="L221" s="66"/>
    </row>
    <row r="222" spans="3:12" ht="15.75">
      <c r="C222" s="66"/>
      <c r="D222" s="66"/>
      <c r="E222" s="66"/>
      <c r="F222" s="66"/>
      <c r="G222" s="66"/>
      <c r="H222" s="66"/>
      <c r="I222" s="66"/>
      <c r="J222" s="66"/>
      <c r="K222" s="66"/>
      <c r="L222" s="66"/>
    </row>
    <row r="223" spans="3:12" ht="15.75">
      <c r="C223" s="66"/>
      <c r="D223" s="66"/>
      <c r="E223" s="66"/>
      <c r="F223" s="66"/>
      <c r="G223" s="66"/>
      <c r="H223" s="66"/>
      <c r="I223" s="66"/>
      <c r="J223" s="66"/>
      <c r="K223" s="66"/>
      <c r="L223" s="66"/>
    </row>
    <row r="224" spans="3:12" ht="15.75">
      <c r="C224" s="66"/>
      <c r="D224" s="66"/>
      <c r="E224" s="66"/>
      <c r="F224" s="66"/>
      <c r="G224" s="66"/>
      <c r="H224" s="66"/>
      <c r="I224" s="66"/>
      <c r="J224" s="66"/>
      <c r="K224" s="66"/>
      <c r="L224" s="66"/>
    </row>
    <row r="225" spans="3:12" ht="15.75">
      <c r="C225" s="66"/>
      <c r="D225" s="66"/>
      <c r="E225" s="66"/>
      <c r="F225" s="66"/>
      <c r="G225" s="66"/>
      <c r="H225" s="66"/>
      <c r="I225" s="66"/>
      <c r="J225" s="66"/>
      <c r="K225" s="66"/>
      <c r="L225" s="66"/>
    </row>
    <row r="226" spans="3:12" ht="15.75">
      <c r="C226" s="66"/>
      <c r="D226" s="66"/>
      <c r="E226" s="66"/>
      <c r="F226" s="66"/>
      <c r="G226" s="66"/>
      <c r="H226" s="66"/>
      <c r="I226" s="66"/>
      <c r="J226" s="66"/>
      <c r="K226" s="66"/>
      <c r="L226" s="66"/>
    </row>
    <row r="227" spans="3:12" ht="15.75">
      <c r="C227" s="66"/>
      <c r="D227" s="66"/>
      <c r="E227" s="66"/>
      <c r="F227" s="66"/>
      <c r="G227" s="66"/>
      <c r="H227" s="66"/>
      <c r="I227" s="66"/>
      <c r="J227" s="66"/>
      <c r="K227" s="66"/>
      <c r="L227" s="66"/>
    </row>
    <row r="228" spans="3:12" ht="15.75">
      <c r="C228" s="66"/>
      <c r="D228" s="66"/>
      <c r="E228" s="66"/>
      <c r="F228" s="66"/>
      <c r="G228" s="66"/>
      <c r="H228" s="66"/>
      <c r="I228" s="66"/>
      <c r="J228" s="66"/>
      <c r="K228" s="66"/>
      <c r="L228" s="66"/>
    </row>
    <row r="229" spans="3:12" ht="15.75">
      <c r="C229" s="66"/>
      <c r="D229" s="66"/>
      <c r="E229" s="66"/>
      <c r="F229" s="66"/>
      <c r="G229" s="66"/>
      <c r="H229" s="66"/>
      <c r="I229" s="66"/>
      <c r="J229" s="66"/>
      <c r="K229" s="66"/>
      <c r="L229" s="66"/>
    </row>
    <row r="230" spans="3:12" ht="15.75">
      <c r="C230" s="66"/>
      <c r="D230" s="66"/>
      <c r="E230" s="66"/>
      <c r="F230" s="66"/>
      <c r="G230" s="66"/>
      <c r="H230" s="66"/>
      <c r="I230" s="66"/>
      <c r="J230" s="66"/>
      <c r="K230" s="66"/>
      <c r="L230" s="66"/>
    </row>
    <row r="231" spans="3:12" ht="15.75">
      <c r="C231" s="66"/>
      <c r="D231" s="66"/>
      <c r="E231" s="66"/>
      <c r="F231" s="66"/>
      <c r="G231" s="66"/>
      <c r="H231" s="66"/>
      <c r="I231" s="66"/>
      <c r="J231" s="66"/>
      <c r="K231" s="66"/>
      <c r="L231" s="66"/>
    </row>
    <row r="232" spans="3:12" ht="15.75">
      <c r="C232" s="66"/>
      <c r="D232" s="66"/>
      <c r="E232" s="66"/>
      <c r="F232" s="66"/>
      <c r="G232" s="66"/>
      <c r="H232" s="66"/>
      <c r="I232" s="66"/>
      <c r="J232" s="66"/>
      <c r="K232" s="66"/>
      <c r="L232" s="66"/>
    </row>
    <row r="233" spans="3:12" ht="15.75">
      <c r="C233" s="66"/>
      <c r="D233" s="66"/>
      <c r="E233" s="66"/>
      <c r="F233" s="66"/>
      <c r="G233" s="66"/>
      <c r="H233" s="66"/>
      <c r="I233" s="66"/>
      <c r="J233" s="66"/>
      <c r="K233" s="66"/>
      <c r="L233" s="66"/>
    </row>
    <row r="234" spans="3:12" ht="15.75">
      <c r="C234" s="66"/>
      <c r="D234" s="66"/>
      <c r="E234" s="66"/>
      <c r="F234" s="66"/>
      <c r="G234" s="66"/>
      <c r="H234" s="66"/>
      <c r="I234" s="66"/>
      <c r="J234" s="66"/>
      <c r="K234" s="66"/>
      <c r="L234" s="66"/>
    </row>
    <row r="235" spans="3:12" ht="15.75">
      <c r="C235" s="66"/>
      <c r="D235" s="66"/>
      <c r="E235" s="66"/>
      <c r="F235" s="66"/>
      <c r="G235" s="66"/>
      <c r="H235" s="66"/>
      <c r="I235" s="66"/>
      <c r="J235" s="66"/>
      <c r="K235" s="66"/>
      <c r="L235" s="66"/>
    </row>
    <row r="236" spans="3:12" ht="15.75">
      <c r="C236" s="66"/>
      <c r="D236" s="66"/>
      <c r="E236" s="66"/>
      <c r="F236" s="66"/>
      <c r="G236" s="66"/>
      <c r="H236" s="66"/>
      <c r="I236" s="66"/>
      <c r="J236" s="66"/>
      <c r="K236" s="66"/>
      <c r="L236" s="66"/>
    </row>
    <row r="237" spans="3:12" ht="15.75">
      <c r="C237" s="66"/>
      <c r="D237" s="66"/>
      <c r="E237" s="66"/>
      <c r="F237" s="66"/>
      <c r="G237" s="66"/>
      <c r="H237" s="66"/>
      <c r="I237" s="66"/>
      <c r="J237" s="66"/>
      <c r="K237" s="66"/>
      <c r="L237" s="66"/>
    </row>
    <row r="238" spans="3:12" ht="15.75">
      <c r="C238" s="66"/>
      <c r="D238" s="66"/>
      <c r="E238" s="66"/>
      <c r="F238" s="66"/>
      <c r="G238" s="66"/>
      <c r="H238" s="66"/>
      <c r="I238" s="66"/>
      <c r="J238" s="66"/>
      <c r="K238" s="66"/>
      <c r="L238" s="66"/>
    </row>
    <row r="239" spans="3:12" ht="15.75">
      <c r="C239" s="66"/>
      <c r="D239" s="66"/>
      <c r="E239" s="66"/>
      <c r="F239" s="66"/>
      <c r="G239" s="66"/>
      <c r="H239" s="66"/>
      <c r="I239" s="66"/>
      <c r="J239" s="66"/>
      <c r="K239" s="66"/>
      <c r="L239" s="66"/>
    </row>
    <row r="240" spans="3:12" ht="15.75">
      <c r="C240" s="66"/>
      <c r="D240" s="66"/>
      <c r="E240" s="66"/>
      <c r="F240" s="66"/>
      <c r="G240" s="66"/>
      <c r="H240" s="66"/>
      <c r="I240" s="66"/>
      <c r="J240" s="66"/>
      <c r="K240" s="66"/>
      <c r="L240" s="66"/>
    </row>
    <row r="241" spans="3:12" ht="15.75">
      <c r="C241" s="66"/>
      <c r="D241" s="66"/>
      <c r="E241" s="66"/>
      <c r="F241" s="66"/>
      <c r="G241" s="66"/>
      <c r="H241" s="66"/>
      <c r="I241" s="66"/>
      <c r="J241" s="66"/>
      <c r="K241" s="66"/>
      <c r="L241" s="66"/>
    </row>
    <row r="242" spans="3:12" ht="15.75">
      <c r="C242" s="66"/>
      <c r="D242" s="66"/>
      <c r="E242" s="66"/>
      <c r="F242" s="66"/>
      <c r="G242" s="66"/>
      <c r="H242" s="66"/>
      <c r="I242" s="66"/>
      <c r="J242" s="66"/>
      <c r="K242" s="66"/>
      <c r="L242" s="66"/>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4"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
      <selection pane="topLeft" activeCell="A79" sqref="A79"/>
    </sheetView>
  </sheetViews>
  <sheetFormatPr defaultColWidth="8.88555555555556" defaultRowHeight="15.75"/>
  <cols>
    <col min="1" max="1" width="6" style="14" customWidth="1"/>
    <col min="2" max="2" width="1.44444444444444" style="14" customWidth="1"/>
    <col min="3" max="3" width="39.1111111111111" style="14" customWidth="1"/>
    <col min="4" max="4" width="8.88888888888889" style="14" customWidth="1"/>
    <col min="5" max="5" width="14.4444444444444" style="14" customWidth="1"/>
    <col min="6" max="6" width="11.8888888888889" style="14" customWidth="1"/>
    <col min="7" max="7" width="16.8888888888889" style="14" bestFit="1" customWidth="1"/>
    <col min="8" max="8" width="13.8888888888889" style="14" customWidth="1"/>
    <col min="9" max="10" width="12.8888888888889" style="14" customWidth="1"/>
    <col min="11" max="11" width="13.5555555555556" style="14" customWidth="1"/>
    <col min="12" max="12" width="13.5555555555556" style="262" customWidth="1"/>
    <col min="13" max="14" width="15.3333333333333" style="14" customWidth="1"/>
    <col min="15" max="15" width="15.4444444444444" style="14" customWidth="1"/>
    <col min="16" max="16" width="13.8888888888889" style="14" customWidth="1"/>
    <col min="17" max="16384" width="8.88888888888889" style="14"/>
  </cols>
  <sheetData>
    <row r="1" spans="16:16" ht="15.75">
      <c r="P1" s="4" t="s">
        <v>310</v>
      </c>
    </row>
    <row r="2" spans="7:16" ht="15.75">
      <c r="G2" s="47"/>
      <c r="P2" s="4" t="s">
        <v>279</v>
      </c>
    </row>
    <row r="3" spans="16:16" ht="15.75">
      <c r="P3" s="7" t="str">
        <f>'Attachment H-21-A ATSI '!K4</f>
        <v>For the 12 months ended 12/31/2023</v>
      </c>
    </row>
    <row r="4" spans="15:15" ht="15.75">
      <c r="O4" s="40"/>
    </row>
    <row r="5" spans="1:16" ht="15.75">
      <c r="A5" s="827" t="s">
        <v>285</v>
      </c>
      <c r="B5" s="827"/>
      <c r="C5" s="827"/>
      <c r="D5" s="827"/>
      <c r="E5" s="827"/>
      <c r="F5" s="827"/>
      <c r="G5" s="827"/>
      <c r="H5" s="827"/>
      <c r="I5" s="827"/>
      <c r="J5" s="827"/>
      <c r="K5" s="827"/>
      <c r="L5" s="827"/>
      <c r="M5" s="827"/>
      <c r="N5" s="827"/>
      <c r="O5" s="827"/>
      <c r="P5" s="827"/>
    </row>
    <row r="6" spans="1:16" ht="15.75">
      <c r="A6" s="834" t="s">
        <v>313</v>
      </c>
      <c r="B6" s="834"/>
      <c r="C6" s="834"/>
      <c r="D6" s="834"/>
      <c r="E6" s="834"/>
      <c r="F6" s="834"/>
      <c r="G6" s="834"/>
      <c r="H6" s="834"/>
      <c r="I6" s="834"/>
      <c r="J6" s="834"/>
      <c r="K6" s="834"/>
      <c r="L6" s="834"/>
      <c r="M6" s="834"/>
      <c r="N6" s="834"/>
      <c r="O6" s="834"/>
      <c r="P6" s="834"/>
    </row>
    <row r="7" spans="1:16" ht="15.75">
      <c r="A7" s="834"/>
      <c r="B7" s="834"/>
      <c r="C7" s="834"/>
      <c r="D7" s="834"/>
      <c r="E7" s="834"/>
      <c r="F7" s="834"/>
      <c r="G7" s="834"/>
      <c r="H7" s="834"/>
      <c r="I7" s="834"/>
      <c r="J7" s="834"/>
      <c r="K7" s="834"/>
      <c r="L7" s="834"/>
      <c r="M7" s="834"/>
      <c r="N7" s="834"/>
      <c r="O7" s="8"/>
      <c r="P7" s="8"/>
    </row>
    <row r="8" spans="1:16" ht="15.75">
      <c r="A8" s="175"/>
      <c r="C8" s="8"/>
      <c r="D8" s="8"/>
      <c r="F8" s="8"/>
      <c r="H8" s="8"/>
      <c r="I8" s="8"/>
      <c r="J8" s="8"/>
      <c r="K8" s="8"/>
      <c r="L8" s="263"/>
      <c r="M8" s="8"/>
      <c r="N8" s="8"/>
      <c r="O8" s="8"/>
      <c r="P8" s="8"/>
    </row>
    <row r="9" spans="1:16" ht="15.75">
      <c r="A9" s="175"/>
      <c r="C9" s="8"/>
      <c r="D9" s="8"/>
      <c r="E9" s="8"/>
      <c r="F9" s="8"/>
      <c r="G9" s="25"/>
      <c r="H9" s="8"/>
      <c r="I9" s="8"/>
      <c r="J9" s="8"/>
      <c r="K9" s="8"/>
      <c r="L9" s="263"/>
      <c r="M9" s="8"/>
      <c r="N9" s="8"/>
      <c r="O9" s="8"/>
      <c r="P9" s="8"/>
    </row>
    <row r="10" spans="1:16" ht="15.75">
      <c r="A10" s="175"/>
      <c r="D10" s="8"/>
      <c r="E10" s="8"/>
      <c r="F10" s="8"/>
      <c r="G10" s="25"/>
      <c r="H10" s="8"/>
      <c r="I10" s="8"/>
      <c r="J10" s="8"/>
      <c r="K10" s="8"/>
      <c r="L10" s="263"/>
      <c r="M10" s="8"/>
      <c r="N10" s="8"/>
      <c r="O10" s="8"/>
      <c r="P10" s="8"/>
    </row>
    <row r="11" spans="1:16" ht="15.75">
      <c r="A11" s="175"/>
      <c r="C11" s="8"/>
      <c r="D11" s="8"/>
      <c r="E11" s="8"/>
      <c r="F11" s="8"/>
      <c r="G11" s="25"/>
      <c r="M11" s="8"/>
      <c r="N11" s="8"/>
      <c r="O11" s="8"/>
      <c r="P11" s="8"/>
    </row>
    <row r="12" spans="1:16" ht="15.75">
      <c r="A12" s="175"/>
      <c r="C12" s="8"/>
      <c r="D12" s="8"/>
      <c r="E12" s="8"/>
      <c r="F12" s="8"/>
      <c r="G12" s="8"/>
      <c r="M12" s="5"/>
      <c r="N12" s="8"/>
      <c r="O12" s="8"/>
      <c r="P12" s="8"/>
    </row>
    <row r="13" spans="3:16" ht="15.75">
      <c r="C13" s="9" t="s">
        <v>27</v>
      </c>
      <c r="D13" s="9"/>
      <c r="E13" s="9" t="s">
        <v>28</v>
      </c>
      <c r="F13" s="9"/>
      <c r="G13" s="9" t="s">
        <v>29</v>
      </c>
      <c r="I13" s="12" t="s">
        <v>30</v>
      </c>
      <c r="N13" s="10"/>
      <c r="O13" s="12"/>
      <c r="P13" s="10"/>
    </row>
    <row r="14" spans="3:16" ht="15.75">
      <c r="C14" s="27"/>
      <c r="D14" s="27"/>
      <c r="E14" s="26"/>
      <c r="F14" s="26"/>
      <c r="G14" s="10"/>
      <c r="N14" s="10"/>
      <c r="P14" s="10"/>
    </row>
    <row r="15" spans="1:16" ht="15.75">
      <c r="A15" s="175" t="s">
        <v>5</v>
      </c>
      <c r="C15" s="27"/>
      <c r="D15" s="27"/>
      <c r="E15" s="174" t="s">
        <v>278</v>
      </c>
      <c r="F15" s="174"/>
      <c r="G15" s="42" t="s">
        <v>33</v>
      </c>
      <c r="I15" s="42" t="s">
        <v>12</v>
      </c>
      <c r="N15" s="10"/>
      <c r="P15" s="8"/>
    </row>
    <row r="16" spans="1:16" ht="15.75">
      <c r="A16" s="175" t="s">
        <v>7</v>
      </c>
      <c r="C16" s="28"/>
      <c r="D16" s="28"/>
      <c r="E16" s="10"/>
      <c r="F16" s="10"/>
      <c r="G16" s="10"/>
      <c r="I16" s="10"/>
      <c r="N16" s="10"/>
      <c r="O16" s="10"/>
      <c r="P16" s="8"/>
    </row>
    <row r="17" spans="1:16" ht="15.75">
      <c r="A17" s="43"/>
      <c r="C17" s="27"/>
      <c r="D17" s="27"/>
      <c r="E17" s="10"/>
      <c r="F17" s="10"/>
      <c r="G17" s="10"/>
      <c r="I17" s="10"/>
      <c r="N17" s="10"/>
      <c r="O17" s="10"/>
      <c r="P17" s="8"/>
    </row>
    <row r="18" spans="1:16" ht="15.75">
      <c r="A18" s="173">
        <v>1</v>
      </c>
      <c r="C18" s="27" t="s">
        <v>232</v>
      </c>
      <c r="D18" s="27"/>
      <c r="E18" s="173" t="s">
        <v>315</v>
      </c>
      <c r="F18" s="173"/>
      <c r="G18" s="30">
        <f>'Attachment H-21-A ATSI '!I66</f>
        <v>5794396215.1715345</v>
      </c>
      <c r="N18" s="10"/>
      <c r="O18" s="10"/>
      <c r="P18" s="8"/>
    </row>
    <row r="19" spans="1:16" ht="15.75">
      <c r="A19" s="173">
        <v>2</v>
      </c>
      <c r="C19" s="27" t="s">
        <v>233</v>
      </c>
      <c r="D19" s="27"/>
      <c r="E19" s="173" t="s">
        <v>316</v>
      </c>
      <c r="F19" s="173"/>
      <c r="G19" s="30">
        <f>'Attachment H-21-A ATSI '!I82</f>
        <v>4455809828.5200262</v>
      </c>
      <c r="N19" s="10"/>
      <c r="O19" s="10"/>
      <c r="P19" s="8"/>
    </row>
    <row r="20" spans="1:16" ht="15.75">
      <c r="A20" s="173"/>
      <c r="E20" s="173"/>
      <c r="F20" s="173"/>
      <c r="N20" s="10"/>
      <c r="O20" s="10"/>
      <c r="P20" s="8"/>
    </row>
    <row r="21" spans="1:16" ht="15.75">
      <c r="A21" s="173"/>
      <c r="C21" s="27" t="s">
        <v>234</v>
      </c>
      <c r="D21" s="27"/>
      <c r="E21" s="173"/>
      <c r="F21" s="173"/>
      <c r="G21" s="10"/>
      <c r="I21" s="10"/>
      <c r="N21" s="10"/>
      <c r="O21" s="10"/>
      <c r="P21" s="10"/>
    </row>
    <row r="22" spans="1:16" ht="15.75">
      <c r="A22" s="173">
        <v>3</v>
      </c>
      <c r="C22" s="27" t="s">
        <v>235</v>
      </c>
      <c r="D22" s="27"/>
      <c r="E22" s="173" t="s">
        <v>317</v>
      </c>
      <c r="F22" s="173"/>
      <c r="G22" s="30">
        <f>'Attachment H-21-A ATSI '!I146</f>
        <v>178380600.66119069</v>
      </c>
      <c r="N22" s="10"/>
      <c r="O22" s="10"/>
      <c r="P22" s="10"/>
    </row>
    <row r="23" spans="1:16" ht="15.75">
      <c r="A23" s="173">
        <v>4</v>
      </c>
      <c r="C23" s="27" t="s">
        <v>236</v>
      </c>
      <c r="D23" s="27"/>
      <c r="E23" s="173" t="s">
        <v>280</v>
      </c>
      <c r="F23" s="173"/>
      <c r="G23" s="81">
        <f>IF(G22=0,0,G22/G18)</f>
        <v>0.03078501953217053</v>
      </c>
      <c r="I23" s="82">
        <f>G23</f>
        <v>0.03078501953217053</v>
      </c>
      <c r="N23" s="10"/>
      <c r="O23" s="45"/>
      <c r="P23" s="15"/>
    </row>
    <row r="24" spans="1:16" ht="15.75">
      <c r="A24" s="173"/>
      <c r="E24" s="173"/>
      <c r="F24" s="173"/>
      <c r="I24" s="81"/>
      <c r="N24" s="10"/>
      <c r="P24" s="10"/>
    </row>
    <row r="25" spans="1:16" ht="15.75">
      <c r="A25" s="12"/>
      <c r="C25" s="27" t="s">
        <v>237</v>
      </c>
      <c r="D25" s="27"/>
      <c r="E25" s="46"/>
      <c r="F25" s="46"/>
      <c r="G25" s="10"/>
      <c r="I25" s="81"/>
      <c r="N25" s="10"/>
      <c r="O25" s="10"/>
      <c r="P25" s="10"/>
    </row>
    <row r="26" spans="1:16" ht="15.75">
      <c r="A26" s="12" t="s">
        <v>238</v>
      </c>
      <c r="C26" s="27" t="s">
        <v>239</v>
      </c>
      <c r="D26" s="27"/>
      <c r="E26" s="173" t="s">
        <v>314</v>
      </c>
      <c r="F26" s="173"/>
      <c r="G26" s="30">
        <f>'Attachment H-21-A ATSI '!I163</f>
        <v>245778255.14999998</v>
      </c>
      <c r="I26" s="81"/>
      <c r="N26" s="10"/>
      <c r="O26" s="13"/>
      <c r="P26" s="10"/>
    </row>
    <row r="27" spans="1:16" ht="15.75">
      <c r="A27" s="12" t="s">
        <v>240</v>
      </c>
      <c r="C27" s="27" t="s">
        <v>241</v>
      </c>
      <c r="D27" s="27"/>
      <c r="E27" s="173" t="s">
        <v>281</v>
      </c>
      <c r="F27" s="173"/>
      <c r="G27" s="81">
        <f>IF(G26=0,0,G26/G18)</f>
        <v>0.042416542815362876</v>
      </c>
      <c r="I27" s="82">
        <f>G27</f>
        <v>0.042416542815362876</v>
      </c>
      <c r="N27" s="10"/>
      <c r="O27" s="45"/>
      <c r="P27" s="10"/>
    </row>
    <row r="28" spans="1:14" ht="15.75">
      <c r="A28" s="12"/>
      <c r="C28" s="27"/>
      <c r="D28" s="27"/>
      <c r="E28" s="173"/>
      <c r="F28" s="173"/>
      <c r="G28" s="10"/>
      <c r="I28" s="81"/>
      <c r="N28" s="10"/>
    </row>
    <row r="29" spans="1:14" ht="15.75">
      <c r="A29" s="172" t="s">
        <v>242</v>
      </c>
      <c r="B29" s="47"/>
      <c r="C29" s="28" t="s">
        <v>243</v>
      </c>
      <c r="D29" s="28"/>
      <c r="E29" s="26" t="s">
        <v>244</v>
      </c>
      <c r="F29" s="26"/>
      <c r="G29" s="15"/>
      <c r="I29" s="83">
        <f>I23+I27</f>
        <v>0.073201562347533403</v>
      </c>
      <c r="N29" s="10"/>
    </row>
    <row r="30" spans="1:16" ht="15.75">
      <c r="A30" s="12"/>
      <c r="C30" s="27"/>
      <c r="D30" s="27"/>
      <c r="E30" s="173"/>
      <c r="F30" s="173"/>
      <c r="G30" s="10"/>
      <c r="I30" s="81"/>
      <c r="N30" s="10"/>
      <c r="O30" s="10"/>
      <c r="P30" s="10"/>
    </row>
    <row r="31" spans="1:14" ht="15.75">
      <c r="A31" s="12"/>
      <c r="C31" s="10" t="s">
        <v>245</v>
      </c>
      <c r="D31" s="10"/>
      <c r="E31" s="173"/>
      <c r="F31" s="173"/>
      <c r="G31" s="10"/>
      <c r="I31" s="81"/>
      <c r="N31" s="10"/>
    </row>
    <row r="32" spans="1:14" ht="15.75">
      <c r="A32" s="12" t="s">
        <v>246</v>
      </c>
      <c r="C32" s="10" t="s">
        <v>92</v>
      </c>
      <c r="D32" s="10"/>
      <c r="E32" s="173" t="s">
        <v>318</v>
      </c>
      <c r="F32" s="173"/>
      <c r="G32" s="30">
        <f>'Attachment H-21-A ATSI '!I176</f>
        <v>63895054.607483074</v>
      </c>
      <c r="I32" s="81"/>
      <c r="N32" s="10"/>
    </row>
    <row r="33" spans="1:16" ht="15.75">
      <c r="A33" s="12" t="s">
        <v>247</v>
      </c>
      <c r="C33" s="10" t="s">
        <v>248</v>
      </c>
      <c r="D33" s="10"/>
      <c r="E33" s="173" t="s">
        <v>282</v>
      </c>
      <c r="F33" s="173"/>
      <c r="G33" s="81">
        <f>IF(G19=0,0,G32/G19)</f>
        <v>0.014339717597127677</v>
      </c>
      <c r="I33" s="82">
        <f>G33</f>
        <v>0.014339717597127677</v>
      </c>
      <c r="N33" s="10"/>
      <c r="P33" s="10"/>
    </row>
    <row r="34" spans="1:16" ht="15.75">
      <c r="A34" s="12"/>
      <c r="C34" s="10"/>
      <c r="D34" s="10"/>
      <c r="E34" s="173"/>
      <c r="F34" s="173"/>
      <c r="G34" s="10"/>
      <c r="I34" s="81"/>
      <c r="N34" s="10"/>
      <c r="P34" s="8"/>
    </row>
    <row r="35" spans="1:16" ht="15.75">
      <c r="A35" s="12"/>
      <c r="C35" s="27" t="s">
        <v>93</v>
      </c>
      <c r="D35" s="27"/>
      <c r="E35" s="16"/>
      <c r="F35" s="16"/>
      <c r="I35" s="81"/>
      <c r="N35" s="10"/>
      <c r="P35" s="10"/>
    </row>
    <row r="36" spans="1:16" ht="15.75">
      <c r="A36" s="12" t="s">
        <v>249</v>
      </c>
      <c r="C36" s="27" t="s">
        <v>250</v>
      </c>
      <c r="D36" s="27"/>
      <c r="E36" s="173" t="s">
        <v>319</v>
      </c>
      <c r="F36" s="173"/>
      <c r="G36" s="30">
        <f>'Attachment H-21-A ATSI '!I178</f>
        <v>294906175.67189258</v>
      </c>
      <c r="I36" s="81"/>
      <c r="N36" s="10"/>
      <c r="P36" s="10"/>
    </row>
    <row r="37" spans="1:14" ht="15.75">
      <c r="A37" s="12" t="s">
        <v>251</v>
      </c>
      <c r="C37" s="10" t="s">
        <v>252</v>
      </c>
      <c r="D37" s="10"/>
      <c r="E37" s="173" t="s">
        <v>283</v>
      </c>
      <c r="F37" s="173"/>
      <c r="G37" s="82">
        <f>IF(G19=0,0,G36/G19)</f>
        <v>0.066184641405543129</v>
      </c>
      <c r="I37" s="82">
        <f>G37</f>
        <v>0.066184641405543129</v>
      </c>
      <c r="N37" s="10"/>
    </row>
    <row r="38" spans="1:16" ht="15.75">
      <c r="A38" s="12"/>
      <c r="C38" s="27"/>
      <c r="D38" s="27"/>
      <c r="E38" s="173"/>
      <c r="F38" s="173"/>
      <c r="G38" s="10"/>
      <c r="I38" s="81"/>
      <c r="N38" s="10"/>
      <c r="O38" s="16"/>
      <c r="P38" s="10"/>
    </row>
    <row r="39" spans="1:16" ht="15.75">
      <c r="A39" s="172" t="s">
        <v>253</v>
      </c>
      <c r="B39" s="47"/>
      <c r="C39" s="28" t="s">
        <v>254</v>
      </c>
      <c r="D39" s="28"/>
      <c r="E39" s="26" t="s">
        <v>255</v>
      </c>
      <c r="F39" s="26"/>
      <c r="G39" s="15"/>
      <c r="I39" s="83">
        <f>I33+I37</f>
        <v>0.080524359002670812</v>
      </c>
      <c r="N39" s="10"/>
      <c r="O39" s="16"/>
      <c r="P39" s="10"/>
    </row>
    <row r="40" spans="14:16" ht="15.75">
      <c r="N40" s="8"/>
      <c r="O40" s="8"/>
      <c r="P40" s="10"/>
    </row>
    <row r="41" spans="14:16" ht="15.75">
      <c r="N41" s="8"/>
      <c r="O41" s="8"/>
      <c r="P41" s="10"/>
    </row>
    <row r="42" spans="14:16" ht="15.75">
      <c r="N42" s="8"/>
      <c r="O42" s="8"/>
      <c r="P42" s="10"/>
    </row>
    <row r="43" spans="14:16" ht="15.75">
      <c r="N43" s="8"/>
      <c r="O43" s="8"/>
      <c r="P43" s="27"/>
    </row>
    <row r="44" spans="14:16" ht="15.75">
      <c r="N44" s="10"/>
      <c r="O44" s="10"/>
      <c r="P44" s="10"/>
    </row>
    <row r="45" spans="14:16" ht="15.75">
      <c r="N45" s="10"/>
      <c r="O45" s="45"/>
      <c r="P45" s="10"/>
    </row>
    <row r="46" spans="14:16" ht="15.75">
      <c r="N46" s="10"/>
      <c r="O46" s="45"/>
      <c r="P46" s="10"/>
    </row>
    <row r="47" spans="14:16" ht="15.75">
      <c r="N47" s="10"/>
      <c r="O47" s="45"/>
      <c r="P47" s="10"/>
    </row>
    <row r="48" spans="1:16" ht="15.75">
      <c r="A48" s="12"/>
      <c r="E48" s="46"/>
      <c r="F48" s="46"/>
      <c r="G48" s="10"/>
      <c r="J48" s="44"/>
      <c r="M48" s="10"/>
      <c r="N48" s="10"/>
      <c r="O48" s="45"/>
      <c r="P48" s="10"/>
    </row>
    <row r="49" spans="1:16" ht="15.75">
      <c r="A49" s="12"/>
      <c r="E49" s="46"/>
      <c r="F49" s="46"/>
      <c r="G49" s="10"/>
      <c r="J49" s="44"/>
      <c r="M49" s="10"/>
      <c r="N49" s="10"/>
      <c r="O49" s="45"/>
      <c r="P49" s="10"/>
    </row>
    <row r="50" spans="1:16" ht="15.75">
      <c r="A50" s="11"/>
      <c r="C50" s="12"/>
      <c r="D50" s="12"/>
      <c r="E50" s="46"/>
      <c r="F50" s="46"/>
      <c r="G50" s="10"/>
      <c r="J50" s="44"/>
      <c r="N50" s="10"/>
      <c r="O50" s="24"/>
      <c r="P50" s="24"/>
    </row>
    <row r="51" spans="1:16" ht="15.75">
      <c r="A51" s="11"/>
      <c r="C51" s="12"/>
      <c r="D51" s="12"/>
      <c r="E51" s="46"/>
      <c r="F51" s="46"/>
      <c r="G51" s="10"/>
      <c r="J51" s="44"/>
      <c r="N51" s="10"/>
      <c r="O51" s="45"/>
      <c r="P51" s="24"/>
    </row>
    <row r="52" spans="1:16" ht="15.75">
      <c r="A52" s="11"/>
      <c r="C52" s="12"/>
      <c r="D52" s="12"/>
      <c r="E52" s="46"/>
      <c r="F52" s="46"/>
      <c r="G52" s="10"/>
      <c r="J52" s="44"/>
      <c r="N52" s="10"/>
      <c r="O52" s="45"/>
      <c r="P52" s="24"/>
    </row>
    <row r="53" spans="1:16" ht="15.75">
      <c r="A53" s="175"/>
      <c r="G53" s="10"/>
      <c r="N53" s="10"/>
      <c r="O53" s="10"/>
      <c r="P53" s="10"/>
    </row>
    <row r="54" spans="16:16" ht="15.75">
      <c r="P54" s="40" t="str">
        <f>P1</f>
        <v>Attachment  H-21A, Appendix E</v>
      </c>
    </row>
    <row r="55" spans="16:16" ht="15.75">
      <c r="P55" s="40" t="s">
        <v>284</v>
      </c>
    </row>
    <row r="56" spans="16:16" ht="15.75">
      <c r="P56" s="40" t="str">
        <f>P3</f>
        <v>For the 12 months ended 12/31/2023</v>
      </c>
    </row>
    <row r="57" spans="1:16" ht="15.75">
      <c r="A57" s="175"/>
      <c r="G57" s="10"/>
      <c r="N57" s="10"/>
      <c r="O57" s="40"/>
      <c r="P57" s="10"/>
    </row>
    <row r="58" spans="1:16" ht="15.75">
      <c r="A58" s="175"/>
      <c r="C58" s="27"/>
      <c r="D58" s="27"/>
      <c r="N58" s="10"/>
      <c r="O58" s="40"/>
      <c r="P58" s="10"/>
    </row>
    <row r="59" spans="1:16" ht="15.75">
      <c r="A59" s="175"/>
      <c r="C59" s="27"/>
      <c r="D59" s="27"/>
      <c r="M59" s="10"/>
      <c r="N59" s="10"/>
      <c r="P59" s="10"/>
    </row>
    <row r="60" spans="1:16" ht="14.25" customHeight="1">
      <c r="A60" s="175"/>
      <c r="N60" s="10"/>
      <c r="P60" s="10"/>
    </row>
    <row r="61" spans="1:16" ht="15.75">
      <c r="A61" s="832" t="str">
        <f>A5</f>
        <v xml:space="preserve">  Legacy MTEP Credit Calculation</v>
      </c>
      <c r="B61" s="832"/>
      <c r="C61" s="832"/>
      <c r="D61" s="832"/>
      <c r="E61" s="832"/>
      <c r="F61" s="832"/>
      <c r="G61" s="832"/>
      <c r="H61" s="832"/>
      <c r="I61" s="832"/>
      <c r="J61" s="832"/>
      <c r="K61" s="832"/>
      <c r="L61" s="832"/>
      <c r="M61" s="832"/>
      <c r="N61" s="832"/>
      <c r="O61" s="832"/>
      <c r="P61" s="832"/>
    </row>
    <row r="62" spans="1:16" ht="15.75">
      <c r="A62" s="833" t="str">
        <f>A6</f>
        <v>To be completed in conjunction with Attachment H-21A</v>
      </c>
      <c r="B62" s="833"/>
      <c r="C62" s="833"/>
      <c r="D62" s="833"/>
      <c r="E62" s="833"/>
      <c r="F62" s="833"/>
      <c r="G62" s="833"/>
      <c r="H62" s="833"/>
      <c r="I62" s="833"/>
      <c r="J62" s="833"/>
      <c r="K62" s="833"/>
      <c r="L62" s="833"/>
      <c r="M62" s="833"/>
      <c r="N62" s="833"/>
      <c r="O62" s="833"/>
      <c r="P62" s="833"/>
    </row>
    <row r="63" spans="1:16" ht="15.75">
      <c r="A63" s="175"/>
      <c r="E63" s="28"/>
      <c r="H63" s="8"/>
      <c r="I63" s="8"/>
      <c r="J63" s="8"/>
      <c r="K63" s="8"/>
      <c r="L63" s="263"/>
      <c r="M63" s="8"/>
      <c r="N63" s="10"/>
      <c r="O63" s="10"/>
      <c r="P63" s="10"/>
    </row>
    <row r="64" spans="1:16" ht="15.75">
      <c r="A64" s="175"/>
      <c r="E64" s="28"/>
      <c r="F64" s="28"/>
      <c r="H64" s="8"/>
      <c r="I64" s="8"/>
      <c r="J64" s="8"/>
      <c r="K64" s="8"/>
      <c r="L64" s="263"/>
      <c r="M64" s="8"/>
      <c r="N64" s="10"/>
      <c r="O64" s="10"/>
      <c r="P64" s="10"/>
    </row>
    <row r="65" spans="1:16" ht="15.75">
      <c r="A65" s="572"/>
      <c r="C65" s="49">
        <v>-1</v>
      </c>
      <c r="D65" s="49">
        <v>-2</v>
      </c>
      <c r="E65" s="49">
        <v>-3</v>
      </c>
      <c r="F65" s="49">
        <v>-4</v>
      </c>
      <c r="G65" s="49">
        <v>-5</v>
      </c>
      <c r="H65" s="49">
        <v>-6</v>
      </c>
      <c r="I65" s="49">
        <v>-7</v>
      </c>
      <c r="J65" s="49">
        <v>-8</v>
      </c>
      <c r="K65" s="49">
        <v>-9</v>
      </c>
      <c r="L65" s="49">
        <v>-10</v>
      </c>
      <c r="M65" s="571" t="s">
        <v>727</v>
      </c>
      <c r="N65" s="571" t="s">
        <v>728</v>
      </c>
      <c r="O65" s="571" t="s">
        <v>733</v>
      </c>
      <c r="P65" s="571" t="s">
        <v>734</v>
      </c>
    </row>
    <row r="66" spans="1:16" ht="79.5" customHeight="1">
      <c r="A66" s="50" t="s">
        <v>256</v>
      </c>
      <c r="B66" s="51"/>
      <c r="C66" s="51" t="s">
        <v>257</v>
      </c>
      <c r="D66" s="52" t="s">
        <v>258</v>
      </c>
      <c r="E66" s="53" t="s">
        <v>259</v>
      </c>
      <c r="F66" s="53" t="s">
        <v>243</v>
      </c>
      <c r="G66" s="54" t="s">
        <v>260</v>
      </c>
      <c r="H66" s="53" t="s">
        <v>261</v>
      </c>
      <c r="I66" s="53" t="s">
        <v>254</v>
      </c>
      <c r="J66" s="54" t="s">
        <v>262</v>
      </c>
      <c r="K66" s="53" t="s">
        <v>263</v>
      </c>
      <c r="L66" s="613" t="s">
        <v>637</v>
      </c>
      <c r="M66" s="614" t="s">
        <v>264</v>
      </c>
      <c r="N66" s="55" t="s">
        <v>736</v>
      </c>
      <c r="O66" s="55" t="s">
        <v>410</v>
      </c>
      <c r="P66" s="55" t="s">
        <v>737</v>
      </c>
    </row>
    <row r="67" spans="1:16" ht="46.5" customHeight="1">
      <c r="A67" s="56"/>
      <c r="B67" s="57"/>
      <c r="C67" s="57"/>
      <c r="D67" s="57"/>
      <c r="E67" s="58" t="s">
        <v>21</v>
      </c>
      <c r="F67" s="58" t="s">
        <v>286</v>
      </c>
      <c r="G67" s="59" t="s">
        <v>265</v>
      </c>
      <c r="H67" s="58" t="s">
        <v>22</v>
      </c>
      <c r="I67" s="58" t="s">
        <v>287</v>
      </c>
      <c r="J67" s="59" t="s">
        <v>266</v>
      </c>
      <c r="K67" s="58" t="s">
        <v>186</v>
      </c>
      <c r="L67" s="176" t="s">
        <v>638</v>
      </c>
      <c r="M67" s="615" t="s">
        <v>267</v>
      </c>
      <c r="N67" s="60" t="s">
        <v>738</v>
      </c>
      <c r="O67" s="60" t="s">
        <v>571</v>
      </c>
      <c r="P67" s="176" t="s">
        <v>739</v>
      </c>
    </row>
    <row r="68" spans="1:16" ht="15.75">
      <c r="A68" s="61"/>
      <c r="B68" s="8"/>
      <c r="C68" s="8"/>
      <c r="D68" s="8"/>
      <c r="E68" s="8"/>
      <c r="F68" s="8"/>
      <c r="G68" s="62"/>
      <c r="H68" s="8"/>
      <c r="I68" s="8"/>
      <c r="J68" s="62"/>
      <c r="K68" s="8"/>
      <c r="L68" s="266"/>
      <c r="M68" s="10"/>
      <c r="N68" s="63"/>
      <c r="O68" s="63"/>
      <c r="P68" s="62"/>
    </row>
    <row r="69" spans="1:19" ht="15.75">
      <c r="A69" s="64" t="s">
        <v>9</v>
      </c>
      <c r="C69" s="777" t="s">
        <v>865</v>
      </c>
      <c r="D69" s="778">
        <v>890</v>
      </c>
      <c r="E69" s="120">
        <v>10408158.470000001</v>
      </c>
      <c r="F69" s="82">
        <f>$I$29</f>
        <v>0.073201562347533403</v>
      </c>
      <c r="G69" s="77">
        <f>E69*F69</f>
        <v>761893.46116471291</v>
      </c>
      <c r="H69" s="120">
        <v>7600102.6428114995</v>
      </c>
      <c r="I69" s="82">
        <f>$I$39</f>
        <v>0.080524359002670812</v>
      </c>
      <c r="J69" s="77">
        <f>H69*I69</f>
        <v>611993.39366690035</v>
      </c>
      <c r="K69" s="120">
        <v>226729.81267500002</v>
      </c>
      <c r="L69" s="75">
        <f>G69+J69+K69</f>
        <v>1600616.6675066131</v>
      </c>
      <c r="M69" s="199">
        <v>0.92779999999999996</v>
      </c>
      <c r="N69" s="75">
        <f>L69*(1-M69)</f>
        <v>115564.52339397754</v>
      </c>
      <c r="O69" s="120">
        <f>'Appendix E-True-up'!K18</f>
        <v>-14852.48188096758</v>
      </c>
      <c r="P69" s="77">
        <f>N69+O69</f>
        <v>100712.04151300996</v>
      </c>
      <c r="Q69" s="66"/>
      <c r="R69" s="66"/>
      <c r="S69" s="66"/>
    </row>
    <row r="70" spans="1:19" ht="15.75">
      <c r="A70" s="64" t="s">
        <v>268</v>
      </c>
      <c r="C70" s="777" t="s">
        <v>866</v>
      </c>
      <c r="D70" s="778">
        <v>1326</v>
      </c>
      <c r="E70" s="120">
        <v>5952507.1099999975</v>
      </c>
      <c r="F70" s="82">
        <f>$I$29</f>
        <v>0.073201562347533403</v>
      </c>
      <c r="G70" s="77">
        <f>E70*F70</f>
        <v>435732.82033680071</v>
      </c>
      <c r="H70" s="120">
        <v>4352611.1452569971</v>
      </c>
      <c r="I70" s="82">
        <f>$I$39</f>
        <v>0.080524359002670812</v>
      </c>
      <c r="J70" s="77">
        <f>H70*I70</f>
        <v>350491.2224597006</v>
      </c>
      <c r="K70" s="120">
        <v>122659.49731599999</v>
      </c>
      <c r="L70" s="75">
        <f>G70+J70+K70</f>
        <v>908883.54011250124</v>
      </c>
      <c r="M70" s="199">
        <v>0.82579999999999998</v>
      </c>
      <c r="N70" s="75">
        <f>L70*(1-M70)</f>
        <v>158327.51268759774</v>
      </c>
      <c r="O70" s="120">
        <f>'Appendix E-True-up'!K19</f>
        <v>-21101.340648431335</v>
      </c>
      <c r="P70" s="77">
        <f>N70+O70</f>
        <v>137226.17203916641</v>
      </c>
      <c r="Q70" s="66"/>
      <c r="R70" s="66"/>
      <c r="S70" s="66"/>
    </row>
    <row r="71" spans="1:19" ht="15.75">
      <c r="A71" s="64"/>
      <c r="C71" s="66"/>
      <c r="D71" s="66"/>
      <c r="E71" s="66"/>
      <c r="F71" s="66"/>
      <c r="G71" s="67"/>
      <c r="H71" s="66"/>
      <c r="I71" s="66"/>
      <c r="J71" s="67"/>
      <c r="K71" s="66"/>
      <c r="L71" s="267"/>
      <c r="M71" s="66"/>
      <c r="N71" s="67"/>
      <c r="O71" s="67"/>
      <c r="P71" s="67"/>
      <c r="Q71" s="66"/>
      <c r="R71" s="66"/>
      <c r="S71" s="66"/>
    </row>
    <row r="72" spans="1:19" ht="15.75">
      <c r="A72" s="64"/>
      <c r="C72" s="66"/>
      <c r="D72" s="66"/>
      <c r="E72" s="66"/>
      <c r="F72" s="66"/>
      <c r="G72" s="67"/>
      <c r="H72" s="66"/>
      <c r="I72" s="66"/>
      <c r="J72" s="67"/>
      <c r="K72" s="66"/>
      <c r="L72" s="267"/>
      <c r="M72" s="66"/>
      <c r="N72" s="67"/>
      <c r="O72" s="67"/>
      <c r="P72" s="67"/>
      <c r="Q72" s="66"/>
      <c r="R72" s="66"/>
      <c r="S72" s="66"/>
    </row>
    <row r="73" spans="1:19" ht="15.75">
      <c r="A73" s="64"/>
      <c r="C73" s="66"/>
      <c r="D73" s="66"/>
      <c r="E73" s="66"/>
      <c r="F73" s="66"/>
      <c r="G73" s="67"/>
      <c r="H73" s="66"/>
      <c r="I73" s="66"/>
      <c r="J73" s="67"/>
      <c r="K73" s="66"/>
      <c r="L73" s="267"/>
      <c r="M73" s="66"/>
      <c r="N73" s="67"/>
      <c r="O73" s="67"/>
      <c r="P73" s="67"/>
      <c r="Q73" s="66"/>
      <c r="R73" s="66"/>
      <c r="S73" s="66"/>
    </row>
    <row r="74" spans="1:19" ht="15.75">
      <c r="A74" s="64"/>
      <c r="C74" s="66"/>
      <c r="D74" s="66"/>
      <c r="E74" s="66"/>
      <c r="F74" s="66"/>
      <c r="G74" s="67"/>
      <c r="H74" s="66"/>
      <c r="I74" s="66"/>
      <c r="J74" s="67"/>
      <c r="K74" s="66"/>
      <c r="L74" s="267"/>
      <c r="M74" s="66"/>
      <c r="N74" s="67"/>
      <c r="O74" s="67"/>
      <c r="P74" s="67"/>
      <c r="Q74" s="66"/>
      <c r="R74" s="66"/>
      <c r="S74" s="66"/>
    </row>
    <row r="75" spans="1:19" ht="15.75">
      <c r="A75" s="64"/>
      <c r="C75" s="66"/>
      <c r="D75" s="66"/>
      <c r="E75" s="66"/>
      <c r="F75" s="66"/>
      <c r="G75" s="67"/>
      <c r="H75" s="66"/>
      <c r="I75" s="66"/>
      <c r="J75" s="67"/>
      <c r="K75" s="66"/>
      <c r="L75" s="267"/>
      <c r="M75" s="66"/>
      <c r="N75" s="67"/>
      <c r="O75" s="67"/>
      <c r="P75" s="67"/>
      <c r="Q75" s="66"/>
      <c r="R75" s="66"/>
      <c r="S75" s="66"/>
    </row>
    <row r="76" spans="1:19" ht="15.75">
      <c r="A76" s="64"/>
      <c r="C76" s="66"/>
      <c r="D76" s="66"/>
      <c r="E76" s="66"/>
      <c r="F76" s="66"/>
      <c r="G76" s="67"/>
      <c r="H76" s="66"/>
      <c r="I76" s="66"/>
      <c r="J76" s="67"/>
      <c r="K76" s="66"/>
      <c r="L76" s="267"/>
      <c r="M76" s="66"/>
      <c r="N76" s="67"/>
      <c r="O76" s="67"/>
      <c r="P76" s="67"/>
      <c r="Q76" s="66"/>
      <c r="R76" s="66"/>
      <c r="S76" s="66"/>
    </row>
    <row r="77" spans="1:19" ht="15.75">
      <c r="A77" s="64"/>
      <c r="C77" s="66"/>
      <c r="D77" s="66"/>
      <c r="E77" s="66"/>
      <c r="F77" s="66"/>
      <c r="G77" s="67"/>
      <c r="H77" s="66"/>
      <c r="I77" s="66"/>
      <c r="J77" s="67"/>
      <c r="K77" s="66"/>
      <c r="L77" s="267"/>
      <c r="M77" s="66"/>
      <c r="N77" s="67"/>
      <c r="O77" s="67"/>
      <c r="P77" s="67"/>
      <c r="Q77" s="66"/>
      <c r="R77" s="66"/>
      <c r="S77" s="66"/>
    </row>
    <row r="78" spans="1:19" ht="15.75">
      <c r="A78" s="64"/>
      <c r="C78" s="66"/>
      <c r="D78" s="66"/>
      <c r="E78" s="66"/>
      <c r="F78" s="66"/>
      <c r="G78" s="67"/>
      <c r="H78" s="66"/>
      <c r="I78" s="66"/>
      <c r="J78" s="67"/>
      <c r="K78" s="66"/>
      <c r="L78" s="267"/>
      <c r="M78" s="66"/>
      <c r="N78" s="67"/>
      <c r="O78" s="67"/>
      <c r="P78" s="67"/>
      <c r="Q78" s="66"/>
      <c r="R78" s="66"/>
      <c r="S78" s="66"/>
    </row>
    <row r="79" spans="1:19" ht="15.75">
      <c r="A79" s="64"/>
      <c r="C79" s="66"/>
      <c r="D79" s="66"/>
      <c r="E79" s="66"/>
      <c r="F79" s="66"/>
      <c r="G79" s="67"/>
      <c r="H79" s="66"/>
      <c r="I79" s="66"/>
      <c r="J79" s="67"/>
      <c r="K79" s="66"/>
      <c r="L79" s="267"/>
      <c r="M79" s="66"/>
      <c r="N79" s="67"/>
      <c r="O79" s="67"/>
      <c r="P79" s="67"/>
      <c r="Q79" s="66"/>
      <c r="R79" s="66"/>
      <c r="S79" s="66"/>
    </row>
    <row r="80" spans="1:19" ht="15.75">
      <c r="A80" s="64"/>
      <c r="C80" s="66"/>
      <c r="D80" s="66"/>
      <c r="E80" s="66"/>
      <c r="F80" s="66"/>
      <c r="G80" s="67"/>
      <c r="H80" s="66"/>
      <c r="I80" s="66"/>
      <c r="J80" s="67"/>
      <c r="K80" s="66"/>
      <c r="L80" s="267"/>
      <c r="M80" s="66"/>
      <c r="N80" s="67"/>
      <c r="O80" s="67"/>
      <c r="P80" s="67"/>
      <c r="Q80" s="66"/>
      <c r="R80" s="66"/>
      <c r="S80" s="66"/>
    </row>
    <row r="81" spans="1:19" ht="15.75">
      <c r="A81" s="64"/>
      <c r="C81" s="66"/>
      <c r="D81" s="66"/>
      <c r="E81" s="66"/>
      <c r="F81" s="66"/>
      <c r="G81" s="67"/>
      <c r="H81" s="66"/>
      <c r="I81" s="66"/>
      <c r="J81" s="67"/>
      <c r="K81" s="66"/>
      <c r="L81" s="267"/>
      <c r="M81" s="66"/>
      <c r="N81" s="67"/>
      <c r="O81" s="67"/>
      <c r="P81" s="67"/>
      <c r="Q81" s="66"/>
      <c r="R81" s="66"/>
      <c r="S81" s="66"/>
    </row>
    <row r="82" spans="1:19" ht="15.75">
      <c r="A82" s="64"/>
      <c r="C82" s="66"/>
      <c r="D82" s="66"/>
      <c r="E82" s="66"/>
      <c r="F82" s="66"/>
      <c r="G82" s="67"/>
      <c r="H82" s="66"/>
      <c r="I82" s="66"/>
      <c r="J82" s="67"/>
      <c r="K82" s="66"/>
      <c r="L82" s="267"/>
      <c r="M82" s="66"/>
      <c r="N82" s="67"/>
      <c r="O82" s="67"/>
      <c r="P82" s="67"/>
      <c r="Q82" s="66"/>
      <c r="R82" s="66"/>
      <c r="S82" s="66"/>
    </row>
    <row r="83" spans="1:19" ht="15.75">
      <c r="A83" s="68"/>
      <c r="B83" s="69"/>
      <c r="C83" s="70"/>
      <c r="D83" s="70"/>
      <c r="E83" s="70"/>
      <c r="F83" s="70"/>
      <c r="G83" s="71"/>
      <c r="H83" s="70"/>
      <c r="I83" s="70"/>
      <c r="J83" s="71"/>
      <c r="K83" s="70"/>
      <c r="L83" s="268"/>
      <c r="M83" s="70"/>
      <c r="N83" s="71"/>
      <c r="O83" s="71"/>
      <c r="P83" s="71"/>
      <c r="Q83" s="66"/>
      <c r="R83" s="66"/>
      <c r="S83" s="66"/>
    </row>
    <row r="84" spans="1:19" ht="15.75">
      <c r="A84" s="12" t="s">
        <v>270</v>
      </c>
      <c r="C84" s="27" t="s">
        <v>271</v>
      </c>
      <c r="D84" s="27"/>
      <c r="E84" s="46"/>
      <c r="F84" s="46"/>
      <c r="G84" s="10"/>
      <c r="H84" s="10"/>
      <c r="I84" s="10"/>
      <c r="J84" s="10"/>
      <c r="K84" s="10"/>
      <c r="L84" s="265"/>
      <c r="N84" s="617"/>
      <c r="O84" s="30"/>
      <c r="P84" s="30">
        <f>SUM(P69:P83)</f>
        <v>237938.21355217637</v>
      </c>
      <c r="Q84" s="30"/>
      <c r="R84" s="66"/>
      <c r="S84" s="66"/>
    </row>
    <row r="85" spans="1:19" ht="15.75">
      <c r="A85" s="66"/>
      <c r="B85" s="66"/>
      <c r="C85" s="66"/>
      <c r="D85" s="66"/>
      <c r="E85" s="66"/>
      <c r="F85" s="66"/>
      <c r="G85" s="66"/>
      <c r="H85" s="66"/>
      <c r="I85" s="66"/>
      <c r="J85" s="66"/>
      <c r="K85" s="66"/>
      <c r="L85" s="264"/>
      <c r="N85" s="616"/>
      <c r="O85" s="616"/>
      <c r="P85" s="30"/>
      <c r="Q85" s="66"/>
      <c r="R85" s="66"/>
      <c r="S85" s="66"/>
    </row>
    <row r="86" spans="1:19" ht="15.75">
      <c r="A86" s="72">
        <v>3</v>
      </c>
      <c r="B86" s="66"/>
      <c r="C86" s="14" t="s">
        <v>324</v>
      </c>
      <c r="D86" s="66"/>
      <c r="E86" s="66"/>
      <c r="F86" s="66"/>
      <c r="G86" s="66"/>
      <c r="H86" s="66"/>
      <c r="I86" s="66"/>
      <c r="J86" s="66"/>
      <c r="K86" s="66"/>
      <c r="L86" s="264"/>
      <c r="N86" s="30">
        <f>SUM(N69:N83)</f>
        <v>273892.03608157526</v>
      </c>
      <c r="O86" s="30"/>
      <c r="P86" s="617"/>
      <c r="Q86" s="30"/>
      <c r="R86" s="66"/>
      <c r="S86" s="66"/>
    </row>
    <row r="87" spans="1:19" ht="15.75">
      <c r="A87" s="66"/>
      <c r="B87" s="66"/>
      <c r="C87" s="66"/>
      <c r="D87" s="66"/>
      <c r="E87" s="66"/>
      <c r="F87" s="66"/>
      <c r="G87" s="66"/>
      <c r="H87" s="66"/>
      <c r="I87" s="66"/>
      <c r="J87" s="66"/>
      <c r="K87" s="66"/>
      <c r="L87" s="264"/>
      <c r="M87" s="66"/>
      <c r="N87" s="66"/>
      <c r="O87" s="66"/>
      <c r="P87" s="66"/>
      <c r="Q87" s="66"/>
      <c r="R87" s="66"/>
      <c r="S87" s="66"/>
    </row>
    <row r="88" spans="1:19" ht="15.75">
      <c r="A88" s="66"/>
      <c r="B88" s="66"/>
      <c r="C88" s="66"/>
      <c r="D88" s="66"/>
      <c r="E88" s="66"/>
      <c r="F88" s="66"/>
      <c r="G88" s="66"/>
      <c r="H88" s="66"/>
      <c r="I88" s="66"/>
      <c r="J88" s="66"/>
      <c r="K88" s="66"/>
      <c r="L88" s="264"/>
      <c r="M88" s="66"/>
      <c r="N88" s="66"/>
      <c r="O88" s="66"/>
      <c r="P88" s="66"/>
      <c r="Q88" s="66"/>
      <c r="R88" s="66"/>
      <c r="S88" s="66"/>
    </row>
    <row r="89" spans="1:19" ht="15.75">
      <c r="A89" s="14" t="s">
        <v>139</v>
      </c>
      <c r="B89" s="66"/>
      <c r="C89" s="66"/>
      <c r="D89" s="66"/>
      <c r="E89" s="66"/>
      <c r="F89" s="66"/>
      <c r="G89" s="66"/>
      <c r="H89" s="66"/>
      <c r="I89" s="66"/>
      <c r="J89" s="66"/>
      <c r="K89" s="66"/>
      <c r="L89" s="264"/>
      <c r="M89" s="66"/>
      <c r="N89" s="66"/>
      <c r="O89" s="66"/>
      <c r="P89" s="66"/>
      <c r="Q89" s="66"/>
      <c r="R89" s="66"/>
      <c r="S89" s="66"/>
    </row>
    <row r="90" spans="1:19" ht="16.5" thickBot="1">
      <c r="A90" s="73" t="s">
        <v>140</v>
      </c>
      <c r="B90" s="66"/>
      <c r="C90" s="66"/>
      <c r="D90" s="66"/>
      <c r="E90" s="66"/>
      <c r="F90" s="66"/>
      <c r="G90" s="66"/>
      <c r="H90" s="66"/>
      <c r="I90" s="66"/>
      <c r="J90" s="66"/>
      <c r="K90" s="66"/>
      <c r="L90" s="264"/>
      <c r="M90" s="66"/>
      <c r="N90" s="66"/>
      <c r="O90" s="66"/>
      <c r="P90" s="66"/>
      <c r="Q90" s="66"/>
      <c r="R90" s="66"/>
      <c r="S90" s="66"/>
    </row>
    <row r="91" spans="1:19" ht="15.75">
      <c r="A91" s="46" t="s">
        <v>141</v>
      </c>
      <c r="C91" s="831" t="s">
        <v>325</v>
      </c>
      <c r="D91" s="831"/>
      <c r="E91" s="831"/>
      <c r="F91" s="831"/>
      <c r="G91" s="831"/>
      <c r="H91" s="831"/>
      <c r="I91" s="831"/>
      <c r="J91" s="831"/>
      <c r="K91" s="831"/>
      <c r="L91" s="831"/>
      <c r="M91" s="831"/>
      <c r="N91" s="831"/>
      <c r="O91" s="831"/>
      <c r="P91" s="66"/>
      <c r="Q91" s="66"/>
      <c r="R91" s="66"/>
      <c r="S91" s="66"/>
    </row>
    <row r="92" spans="1:19" ht="15.75">
      <c r="A92" s="46" t="s">
        <v>142</v>
      </c>
      <c r="C92" s="831" t="s">
        <v>326</v>
      </c>
      <c r="D92" s="831"/>
      <c r="E92" s="831"/>
      <c r="F92" s="831"/>
      <c r="G92" s="831"/>
      <c r="H92" s="831"/>
      <c r="I92" s="831"/>
      <c r="J92" s="831"/>
      <c r="K92" s="831"/>
      <c r="L92" s="831"/>
      <c r="M92" s="831"/>
      <c r="N92" s="831"/>
      <c r="O92" s="831"/>
      <c r="P92" s="66"/>
      <c r="Q92" s="66"/>
      <c r="R92" s="66"/>
      <c r="S92" s="66"/>
    </row>
    <row r="93" spans="1:19" ht="33" customHeight="1">
      <c r="A93" s="74" t="s">
        <v>143</v>
      </c>
      <c r="C93" s="835" t="s">
        <v>303</v>
      </c>
      <c r="D93" s="835"/>
      <c r="E93" s="835"/>
      <c r="F93" s="835"/>
      <c r="G93" s="835"/>
      <c r="H93" s="835"/>
      <c r="I93" s="835"/>
      <c r="J93" s="835"/>
      <c r="K93" s="835"/>
      <c r="L93" s="835"/>
      <c r="M93" s="835"/>
      <c r="N93" s="835"/>
      <c r="O93" s="835"/>
      <c r="P93" s="66"/>
      <c r="Q93" s="66"/>
      <c r="R93" s="66"/>
      <c r="S93" s="66"/>
    </row>
    <row r="94" spans="1:19" ht="15.75">
      <c r="A94" s="74" t="s">
        <v>144</v>
      </c>
      <c r="C94" s="835" t="s">
        <v>272</v>
      </c>
      <c r="D94" s="835"/>
      <c r="E94" s="835"/>
      <c r="F94" s="835"/>
      <c r="G94" s="835"/>
      <c r="H94" s="835"/>
      <c r="I94" s="835"/>
      <c r="J94" s="835"/>
      <c r="K94" s="835"/>
      <c r="L94" s="835"/>
      <c r="M94" s="835"/>
      <c r="N94" s="835"/>
      <c r="O94" s="835"/>
      <c r="P94" s="66"/>
      <c r="Q94" s="66"/>
      <c r="R94" s="66"/>
      <c r="S94" s="66"/>
    </row>
    <row r="95" spans="1:19" ht="15.75">
      <c r="A95" s="46" t="s">
        <v>145</v>
      </c>
      <c r="C95" s="831" t="s">
        <v>323</v>
      </c>
      <c r="D95" s="831"/>
      <c r="E95" s="831"/>
      <c r="F95" s="831"/>
      <c r="G95" s="831"/>
      <c r="H95" s="831"/>
      <c r="I95" s="831"/>
      <c r="J95" s="831"/>
      <c r="K95" s="831"/>
      <c r="L95" s="831"/>
      <c r="M95" s="831"/>
      <c r="N95" s="831"/>
      <c r="O95" s="831"/>
      <c r="P95" s="66"/>
      <c r="Q95" s="66"/>
      <c r="R95" s="66"/>
      <c r="S95" s="66"/>
    </row>
    <row r="96" spans="1:19" ht="15.75">
      <c r="A96" s="46" t="s">
        <v>146</v>
      </c>
      <c r="C96" s="831" t="s">
        <v>273</v>
      </c>
      <c r="D96" s="831"/>
      <c r="E96" s="831"/>
      <c r="F96" s="831"/>
      <c r="G96" s="831"/>
      <c r="H96" s="831"/>
      <c r="I96" s="831"/>
      <c r="J96" s="831"/>
      <c r="K96" s="831"/>
      <c r="L96" s="831"/>
      <c r="M96" s="831"/>
      <c r="N96" s="831"/>
      <c r="O96" s="831"/>
      <c r="P96" s="66"/>
      <c r="Q96" s="66"/>
      <c r="R96" s="66"/>
      <c r="S96" s="66"/>
    </row>
    <row r="97" spans="1:19" ht="15.75">
      <c r="A97" s="46" t="s">
        <v>147</v>
      </c>
      <c r="C97" s="831" t="s">
        <v>735</v>
      </c>
      <c r="D97" s="831"/>
      <c r="E97" s="831"/>
      <c r="F97" s="831"/>
      <c r="G97" s="831"/>
      <c r="H97" s="831"/>
      <c r="I97" s="831"/>
      <c r="J97" s="831"/>
      <c r="K97" s="831"/>
      <c r="L97" s="831"/>
      <c r="M97" s="831"/>
      <c r="N97" s="831"/>
      <c r="O97" s="831"/>
      <c r="P97" s="66"/>
      <c r="Q97" s="66"/>
      <c r="R97" s="66"/>
      <c r="S97" s="66"/>
    </row>
    <row r="98" spans="1:12" ht="15.75">
      <c r="A98" s="46" t="s">
        <v>149</v>
      </c>
      <c r="C98" s="14" t="s">
        <v>641</v>
      </c>
      <c r="L98" s="14"/>
    </row>
    <row r="99" spans="1:19" ht="15.75">
      <c r="A99" s="11"/>
      <c r="C99" s="12"/>
      <c r="D99" s="12"/>
      <c r="E99" s="46"/>
      <c r="F99" s="46"/>
      <c r="G99" s="10"/>
      <c r="J99" s="44"/>
      <c r="N99" s="10"/>
      <c r="O99" s="24"/>
      <c r="P99" s="66"/>
      <c r="Q99" s="66"/>
      <c r="R99" s="66"/>
      <c r="S99" s="66"/>
    </row>
    <row r="100" spans="3:19" ht="15.75">
      <c r="C100" s="66"/>
      <c r="D100" s="66"/>
      <c r="E100" s="66"/>
      <c r="F100" s="66"/>
      <c r="G100" s="66"/>
      <c r="H100" s="66"/>
      <c r="I100" s="66"/>
      <c r="J100" s="66"/>
      <c r="K100" s="66"/>
      <c r="L100" s="264"/>
      <c r="M100" s="66"/>
      <c r="N100" s="66"/>
      <c r="O100" s="66"/>
      <c r="P100" s="66"/>
      <c r="Q100" s="66"/>
      <c r="R100" s="66"/>
      <c r="S100" s="66"/>
    </row>
    <row r="101" spans="3:19" ht="15.75">
      <c r="C101" s="66"/>
      <c r="D101" s="66"/>
      <c r="E101" s="66"/>
      <c r="F101" s="66"/>
      <c r="G101" s="66"/>
      <c r="H101" s="66"/>
      <c r="I101" s="66"/>
      <c r="J101" s="66"/>
      <c r="K101" s="66"/>
      <c r="L101" s="264"/>
      <c r="M101" s="66"/>
      <c r="N101" s="66"/>
      <c r="O101" s="66"/>
      <c r="P101" s="66"/>
      <c r="Q101" s="66"/>
      <c r="R101" s="66"/>
      <c r="S101" s="66"/>
    </row>
    <row r="102" spans="3:19" ht="15.75">
      <c r="C102" s="66"/>
      <c r="D102" s="66"/>
      <c r="E102" s="66"/>
      <c r="F102" s="66"/>
      <c r="G102" s="66"/>
      <c r="H102" s="66"/>
      <c r="I102" s="66"/>
      <c r="J102" s="66"/>
      <c r="K102" s="66"/>
      <c r="L102" s="264"/>
      <c r="M102" s="66"/>
      <c r="N102" s="66"/>
      <c r="O102" s="66"/>
      <c r="P102" s="66"/>
      <c r="Q102" s="66"/>
      <c r="R102" s="66"/>
      <c r="S102" s="66"/>
    </row>
    <row r="103" spans="3:19" ht="15.75">
      <c r="C103" s="66"/>
      <c r="D103" s="66"/>
      <c r="E103" s="66"/>
      <c r="F103" s="66"/>
      <c r="G103" s="66"/>
      <c r="H103" s="66"/>
      <c r="I103" s="66"/>
      <c r="J103" s="66"/>
      <c r="K103" s="66"/>
      <c r="L103" s="264"/>
      <c r="M103" s="66"/>
      <c r="N103" s="66"/>
      <c r="O103" s="66"/>
      <c r="P103" s="66"/>
      <c r="Q103" s="66"/>
      <c r="R103" s="66"/>
      <c r="S103" s="66"/>
    </row>
    <row r="104" spans="3:19" ht="15.75">
      <c r="C104" s="66"/>
      <c r="D104" s="66"/>
      <c r="E104" s="66"/>
      <c r="F104" s="66"/>
      <c r="G104" s="66"/>
      <c r="H104" s="66"/>
      <c r="I104" s="66"/>
      <c r="J104" s="66"/>
      <c r="K104" s="66"/>
      <c r="L104" s="264"/>
      <c r="M104" s="66"/>
      <c r="N104" s="66"/>
      <c r="O104" s="66"/>
      <c r="P104" s="66"/>
      <c r="Q104" s="66"/>
      <c r="R104" s="66"/>
      <c r="S104" s="66"/>
    </row>
    <row r="105" spans="3:19" ht="15.75">
      <c r="C105" s="66"/>
      <c r="D105" s="66"/>
      <c r="E105" s="66"/>
      <c r="F105" s="66"/>
      <c r="G105" s="66"/>
      <c r="H105" s="66"/>
      <c r="I105" s="66"/>
      <c r="J105" s="66"/>
      <c r="K105" s="66"/>
      <c r="L105" s="264"/>
      <c r="M105" s="66"/>
      <c r="N105" s="66"/>
      <c r="O105" s="66"/>
      <c r="P105" s="66"/>
      <c r="Q105" s="66"/>
      <c r="R105" s="66"/>
      <c r="S105" s="66"/>
    </row>
    <row r="106" spans="3:19" ht="15.75">
      <c r="C106" s="66"/>
      <c r="D106" s="66"/>
      <c r="E106" s="66"/>
      <c r="F106" s="66"/>
      <c r="G106" s="66"/>
      <c r="H106" s="66"/>
      <c r="I106" s="66"/>
      <c r="J106" s="66"/>
      <c r="K106" s="66"/>
      <c r="L106" s="264"/>
      <c r="M106" s="66"/>
      <c r="N106" s="66"/>
      <c r="O106" s="66"/>
      <c r="P106" s="66"/>
      <c r="Q106" s="66"/>
      <c r="R106" s="66"/>
      <c r="S106" s="66"/>
    </row>
    <row r="107" spans="3:19" ht="15.75">
      <c r="C107" s="66"/>
      <c r="D107" s="66"/>
      <c r="E107" s="66"/>
      <c r="F107" s="66"/>
      <c r="G107" s="66"/>
      <c r="H107" s="66"/>
      <c r="I107" s="66"/>
      <c r="J107" s="66"/>
      <c r="K107" s="66"/>
      <c r="L107" s="264"/>
      <c r="M107" s="66"/>
      <c r="N107" s="66"/>
      <c r="O107" s="66"/>
      <c r="P107" s="66"/>
      <c r="Q107" s="66"/>
      <c r="R107" s="66"/>
      <c r="S107" s="66"/>
    </row>
    <row r="108" spans="3:19" ht="15.75">
      <c r="C108" s="66"/>
      <c r="D108" s="66"/>
      <c r="E108" s="66"/>
      <c r="F108" s="66"/>
      <c r="G108" s="66"/>
      <c r="H108" s="66"/>
      <c r="I108" s="66"/>
      <c r="J108" s="66"/>
      <c r="K108" s="66"/>
      <c r="L108" s="264"/>
      <c r="M108" s="66"/>
      <c r="N108" s="66"/>
      <c r="O108" s="66"/>
      <c r="P108" s="66"/>
      <c r="Q108" s="66"/>
      <c r="R108" s="66"/>
      <c r="S108" s="66"/>
    </row>
    <row r="109" spans="3:19" ht="15.75">
      <c r="C109" s="66"/>
      <c r="D109" s="66"/>
      <c r="E109" s="66"/>
      <c r="F109" s="66"/>
      <c r="G109" s="66"/>
      <c r="H109" s="66"/>
      <c r="I109" s="66"/>
      <c r="J109" s="66"/>
      <c r="K109" s="66"/>
      <c r="L109" s="264"/>
      <c r="M109" s="66"/>
      <c r="N109" s="66"/>
      <c r="O109" s="66"/>
      <c r="P109" s="66"/>
      <c r="Q109" s="66"/>
      <c r="R109" s="66"/>
      <c r="S109" s="66"/>
    </row>
    <row r="110" spans="3:19" ht="15.75">
      <c r="C110" s="66"/>
      <c r="D110" s="66"/>
      <c r="E110" s="66"/>
      <c r="F110" s="66"/>
      <c r="G110" s="66"/>
      <c r="H110" s="66"/>
      <c r="I110" s="66"/>
      <c r="J110" s="66"/>
      <c r="K110" s="66"/>
      <c r="L110" s="264"/>
      <c r="M110" s="66"/>
      <c r="N110" s="66"/>
      <c r="O110" s="66"/>
      <c r="P110" s="66"/>
      <c r="Q110" s="66"/>
      <c r="R110" s="66"/>
      <c r="S110" s="66"/>
    </row>
    <row r="111" spans="3:19" ht="15.75">
      <c r="C111" s="66"/>
      <c r="D111" s="66"/>
      <c r="E111" s="66"/>
      <c r="F111" s="66"/>
      <c r="G111" s="66"/>
      <c r="H111" s="66"/>
      <c r="I111" s="66"/>
      <c r="J111" s="66"/>
      <c r="K111" s="66"/>
      <c r="L111" s="264"/>
      <c r="M111" s="66"/>
      <c r="N111" s="66"/>
      <c r="O111" s="66"/>
      <c r="P111" s="66"/>
      <c r="Q111" s="66"/>
      <c r="R111" s="66"/>
      <c r="S111" s="66"/>
    </row>
    <row r="112" spans="3:19" ht="15.75">
      <c r="C112" s="66"/>
      <c r="D112" s="66"/>
      <c r="E112" s="66"/>
      <c r="F112" s="66"/>
      <c r="G112" s="66"/>
      <c r="H112" s="66"/>
      <c r="I112" s="66"/>
      <c r="J112" s="66"/>
      <c r="K112" s="66"/>
      <c r="L112" s="264"/>
      <c r="M112" s="66"/>
      <c r="N112" s="66"/>
      <c r="O112" s="66"/>
      <c r="P112" s="66"/>
      <c r="Q112" s="66"/>
      <c r="R112" s="66"/>
      <c r="S112" s="66"/>
    </row>
    <row r="113" spans="3:19" ht="15.75">
      <c r="C113" s="66"/>
      <c r="D113" s="66"/>
      <c r="E113" s="66"/>
      <c r="F113" s="66"/>
      <c r="G113" s="66"/>
      <c r="H113" s="66"/>
      <c r="I113" s="66"/>
      <c r="J113" s="66"/>
      <c r="K113" s="66"/>
      <c r="L113" s="264"/>
      <c r="M113" s="66"/>
      <c r="N113" s="66"/>
      <c r="O113" s="66"/>
      <c r="P113" s="66"/>
      <c r="Q113" s="66"/>
      <c r="R113" s="66"/>
      <c r="S113" s="66"/>
    </row>
    <row r="114" spans="3:19" ht="15.75">
      <c r="C114" s="66"/>
      <c r="D114" s="66"/>
      <c r="E114" s="66"/>
      <c r="F114" s="66"/>
      <c r="G114" s="66"/>
      <c r="H114" s="66"/>
      <c r="I114" s="66"/>
      <c r="J114" s="66"/>
      <c r="K114" s="66"/>
      <c r="L114" s="264"/>
      <c r="M114" s="66"/>
      <c r="N114" s="66"/>
      <c r="O114" s="66"/>
      <c r="P114" s="66"/>
      <c r="Q114" s="66"/>
      <c r="R114" s="66"/>
      <c r="S114" s="66"/>
    </row>
    <row r="115" spans="3:19" ht="15.75">
      <c r="C115" s="66"/>
      <c r="D115" s="66"/>
      <c r="E115" s="66"/>
      <c r="F115" s="66"/>
      <c r="G115" s="66"/>
      <c r="H115" s="66"/>
      <c r="I115" s="66"/>
      <c r="J115" s="66"/>
      <c r="K115" s="66"/>
      <c r="L115" s="264"/>
      <c r="M115" s="66"/>
      <c r="N115" s="66"/>
      <c r="O115" s="66"/>
      <c r="P115" s="66"/>
      <c r="Q115" s="66"/>
      <c r="R115" s="66"/>
      <c r="S115" s="66"/>
    </row>
    <row r="116" spans="3:19" ht="15.75">
      <c r="C116" s="66"/>
      <c r="D116" s="66"/>
      <c r="E116" s="66"/>
      <c r="F116" s="66"/>
      <c r="G116" s="66"/>
      <c r="H116" s="66"/>
      <c r="I116" s="66"/>
      <c r="J116" s="66"/>
      <c r="K116" s="66"/>
      <c r="L116" s="264"/>
      <c r="M116" s="66"/>
      <c r="N116" s="66"/>
      <c r="O116" s="66"/>
      <c r="P116" s="66"/>
      <c r="Q116" s="66"/>
      <c r="R116" s="66"/>
      <c r="S116" s="66"/>
    </row>
    <row r="117" spans="3:19" ht="15.75">
      <c r="C117" s="66"/>
      <c r="D117" s="66"/>
      <c r="E117" s="66"/>
      <c r="F117" s="66"/>
      <c r="G117" s="66"/>
      <c r="H117" s="66"/>
      <c r="I117" s="66"/>
      <c r="J117" s="66"/>
      <c r="K117" s="66"/>
      <c r="L117" s="264"/>
      <c r="M117" s="66"/>
      <c r="N117" s="66"/>
      <c r="O117" s="66"/>
      <c r="P117" s="66"/>
      <c r="Q117" s="66"/>
      <c r="R117" s="66"/>
      <c r="S117" s="66"/>
    </row>
    <row r="118" spans="3:19" ht="15.75">
      <c r="C118" s="66"/>
      <c r="D118" s="66"/>
      <c r="E118" s="66"/>
      <c r="F118" s="66"/>
      <c r="G118" s="66"/>
      <c r="H118" s="66"/>
      <c r="I118" s="66"/>
      <c r="J118" s="66"/>
      <c r="K118" s="66"/>
      <c r="L118" s="264"/>
      <c r="M118" s="66"/>
      <c r="N118" s="66"/>
      <c r="O118" s="66"/>
      <c r="P118" s="66"/>
      <c r="Q118" s="66"/>
      <c r="R118" s="66"/>
      <c r="S118" s="66"/>
    </row>
    <row r="119" spans="3:19" ht="15.75">
      <c r="C119" s="66"/>
      <c r="D119" s="66"/>
      <c r="E119" s="66"/>
      <c r="F119" s="66"/>
      <c r="G119" s="66"/>
      <c r="H119" s="66"/>
      <c r="I119" s="66"/>
      <c r="J119" s="66"/>
      <c r="K119" s="66"/>
      <c r="L119" s="264"/>
      <c r="M119" s="66"/>
      <c r="N119" s="66"/>
      <c r="O119" s="66"/>
      <c r="P119" s="66"/>
      <c r="Q119" s="66"/>
      <c r="R119" s="66"/>
      <c r="S119" s="66"/>
    </row>
    <row r="120" spans="3:19" ht="15.75">
      <c r="C120" s="66"/>
      <c r="D120" s="66"/>
      <c r="E120" s="66"/>
      <c r="F120" s="66"/>
      <c r="G120" s="66"/>
      <c r="H120" s="66"/>
      <c r="I120" s="66"/>
      <c r="J120" s="66"/>
      <c r="K120" s="66"/>
      <c r="L120" s="264"/>
      <c r="M120" s="66"/>
      <c r="N120" s="66"/>
      <c r="O120" s="66"/>
      <c r="P120" s="66"/>
      <c r="Q120" s="66"/>
      <c r="R120" s="66"/>
      <c r="S120" s="66"/>
    </row>
    <row r="121" spans="3:19" ht="15.75">
      <c r="C121" s="66"/>
      <c r="D121" s="66"/>
      <c r="E121" s="66"/>
      <c r="F121" s="66"/>
      <c r="G121" s="66"/>
      <c r="H121" s="66"/>
      <c r="I121" s="66"/>
      <c r="J121" s="66"/>
      <c r="K121" s="66"/>
      <c r="L121" s="264"/>
      <c r="M121" s="66"/>
      <c r="N121" s="66"/>
      <c r="O121" s="66"/>
      <c r="P121" s="66"/>
      <c r="Q121" s="66"/>
      <c r="R121" s="66"/>
      <c r="S121" s="66"/>
    </row>
    <row r="122" spans="3:19" ht="15.75">
      <c r="C122" s="66"/>
      <c r="D122" s="66"/>
      <c r="E122" s="66"/>
      <c r="F122" s="66"/>
      <c r="G122" s="66"/>
      <c r="H122" s="66"/>
      <c r="I122" s="66"/>
      <c r="J122" s="66"/>
      <c r="K122" s="66"/>
      <c r="L122" s="264"/>
      <c r="M122" s="66"/>
      <c r="N122" s="66"/>
      <c r="O122" s="66"/>
      <c r="P122" s="66"/>
      <c r="Q122" s="66"/>
      <c r="R122" s="66"/>
      <c r="S122" s="66"/>
    </row>
    <row r="123" spans="3:19" ht="15.75">
      <c r="C123" s="66"/>
      <c r="D123" s="66"/>
      <c r="E123" s="66"/>
      <c r="F123" s="66"/>
      <c r="G123" s="66"/>
      <c r="H123" s="66"/>
      <c r="I123" s="66"/>
      <c r="J123" s="66"/>
      <c r="K123" s="66"/>
      <c r="L123" s="264"/>
      <c r="M123" s="66"/>
      <c r="N123" s="66"/>
      <c r="O123" s="66"/>
      <c r="P123" s="66"/>
      <c r="Q123" s="66"/>
      <c r="R123" s="66"/>
      <c r="S123" s="66"/>
    </row>
    <row r="124" spans="3:19" ht="15.75">
      <c r="C124" s="66"/>
      <c r="D124" s="66"/>
      <c r="E124" s="66"/>
      <c r="F124" s="66"/>
      <c r="G124" s="66"/>
      <c r="H124" s="66"/>
      <c r="I124" s="66"/>
      <c r="J124" s="66"/>
      <c r="K124" s="66"/>
      <c r="L124" s="264"/>
      <c r="M124" s="66"/>
      <c r="N124" s="66"/>
      <c r="O124" s="66"/>
      <c r="P124" s="66"/>
      <c r="Q124" s="66"/>
      <c r="R124" s="66"/>
      <c r="S124" s="66"/>
    </row>
    <row r="125" spans="3:19" ht="15.75">
      <c r="C125" s="66"/>
      <c r="D125" s="66"/>
      <c r="E125" s="66"/>
      <c r="F125" s="66"/>
      <c r="G125" s="66"/>
      <c r="H125" s="66"/>
      <c r="I125" s="66"/>
      <c r="J125" s="66"/>
      <c r="K125" s="66"/>
      <c r="L125" s="264"/>
      <c r="M125" s="66"/>
      <c r="N125" s="66"/>
      <c r="O125" s="66"/>
      <c r="P125" s="66"/>
      <c r="Q125" s="66"/>
      <c r="R125" s="66"/>
      <c r="S125" s="66"/>
    </row>
    <row r="126" spans="3:19" ht="15.75">
      <c r="C126" s="66"/>
      <c r="D126" s="66"/>
      <c r="E126" s="66"/>
      <c r="F126" s="66"/>
      <c r="G126" s="66"/>
      <c r="H126" s="66"/>
      <c r="I126" s="66"/>
      <c r="J126" s="66"/>
      <c r="K126" s="66"/>
      <c r="L126" s="264"/>
      <c r="M126" s="66"/>
      <c r="N126" s="66"/>
      <c r="O126" s="66"/>
      <c r="P126" s="66"/>
      <c r="Q126" s="66"/>
      <c r="R126" s="66"/>
      <c r="S126" s="66"/>
    </row>
    <row r="127" spans="3:19" ht="15.75">
      <c r="C127" s="66"/>
      <c r="D127" s="66"/>
      <c r="E127" s="66"/>
      <c r="F127" s="66"/>
      <c r="G127" s="66"/>
      <c r="H127" s="66"/>
      <c r="I127" s="66"/>
      <c r="J127" s="66"/>
      <c r="K127" s="66"/>
      <c r="L127" s="264"/>
      <c r="M127" s="66"/>
      <c r="N127" s="66"/>
      <c r="O127" s="66"/>
      <c r="P127" s="66"/>
      <c r="Q127" s="66"/>
      <c r="R127" s="66"/>
      <c r="S127" s="66"/>
    </row>
    <row r="128" spans="3:19" ht="15.75">
      <c r="C128" s="66"/>
      <c r="D128" s="66"/>
      <c r="E128" s="66"/>
      <c r="F128" s="66"/>
      <c r="G128" s="66"/>
      <c r="H128" s="66"/>
      <c r="I128" s="66"/>
      <c r="J128" s="66"/>
      <c r="K128" s="66"/>
      <c r="L128" s="264"/>
      <c r="M128" s="66"/>
      <c r="N128" s="66"/>
      <c r="O128" s="66"/>
      <c r="P128" s="66"/>
      <c r="Q128" s="66"/>
      <c r="R128" s="66"/>
      <c r="S128" s="66"/>
    </row>
    <row r="129" spans="3:19" ht="15.75">
      <c r="C129" s="66"/>
      <c r="D129" s="66"/>
      <c r="E129" s="66"/>
      <c r="F129" s="66"/>
      <c r="G129" s="66"/>
      <c r="H129" s="66"/>
      <c r="I129" s="66"/>
      <c r="J129" s="66"/>
      <c r="K129" s="66"/>
      <c r="L129" s="264"/>
      <c r="M129" s="66"/>
      <c r="N129" s="66"/>
      <c r="O129" s="66"/>
      <c r="P129" s="66"/>
      <c r="Q129" s="66"/>
      <c r="R129" s="66"/>
      <c r="S129" s="66"/>
    </row>
    <row r="130" spans="3:19" ht="15.75">
      <c r="C130" s="66"/>
      <c r="D130" s="66"/>
      <c r="E130" s="66"/>
      <c r="F130" s="66"/>
      <c r="G130" s="66"/>
      <c r="H130" s="66"/>
      <c r="I130" s="66"/>
      <c r="J130" s="66"/>
      <c r="K130" s="66"/>
      <c r="L130" s="264"/>
      <c r="M130" s="66"/>
      <c r="N130" s="66"/>
      <c r="O130" s="66"/>
      <c r="P130" s="66"/>
      <c r="Q130" s="66"/>
      <c r="R130" s="66"/>
      <c r="S130" s="66"/>
    </row>
    <row r="131" spans="3:19" ht="15.75">
      <c r="C131" s="66"/>
      <c r="D131" s="66"/>
      <c r="E131" s="66"/>
      <c r="F131" s="66"/>
      <c r="G131" s="66"/>
      <c r="H131" s="66"/>
      <c r="I131" s="66"/>
      <c r="J131" s="66"/>
      <c r="K131" s="66"/>
      <c r="L131" s="264"/>
      <c r="M131" s="66"/>
      <c r="N131" s="66"/>
      <c r="O131" s="66"/>
      <c r="P131" s="66"/>
      <c r="Q131" s="66"/>
      <c r="R131" s="66"/>
      <c r="S131" s="66"/>
    </row>
    <row r="132" spans="3:19" ht="15.75">
      <c r="C132" s="66"/>
      <c r="D132" s="66"/>
      <c r="E132" s="66"/>
      <c r="F132" s="66"/>
      <c r="G132" s="66"/>
      <c r="H132" s="66"/>
      <c r="I132" s="66"/>
      <c r="J132" s="66"/>
      <c r="K132" s="66"/>
      <c r="L132" s="264"/>
      <c r="M132" s="66"/>
      <c r="N132" s="66"/>
      <c r="O132" s="66"/>
      <c r="P132" s="66"/>
      <c r="Q132" s="66"/>
      <c r="R132" s="66"/>
      <c r="S132" s="66"/>
    </row>
    <row r="133" spans="3:19" ht="15.75">
      <c r="C133" s="66"/>
      <c r="D133" s="66"/>
      <c r="E133" s="66"/>
      <c r="F133" s="66"/>
      <c r="G133" s="66"/>
      <c r="H133" s="66"/>
      <c r="I133" s="66"/>
      <c r="J133" s="66"/>
      <c r="K133" s="66"/>
      <c r="L133" s="264"/>
      <c r="M133" s="66"/>
      <c r="N133" s="66"/>
      <c r="O133" s="66"/>
      <c r="P133" s="66"/>
      <c r="Q133" s="66"/>
      <c r="R133" s="66"/>
      <c r="S133" s="66"/>
    </row>
    <row r="134" spans="3:19" ht="15.75">
      <c r="C134" s="66"/>
      <c r="D134" s="66"/>
      <c r="E134" s="66"/>
      <c r="F134" s="66"/>
      <c r="G134" s="66"/>
      <c r="H134" s="66"/>
      <c r="I134" s="66"/>
      <c r="J134" s="66"/>
      <c r="K134" s="66"/>
      <c r="L134" s="264"/>
      <c r="M134" s="66"/>
      <c r="N134" s="66"/>
      <c r="O134" s="66"/>
      <c r="P134" s="66"/>
      <c r="Q134" s="66"/>
      <c r="R134" s="66"/>
      <c r="S134" s="66"/>
    </row>
    <row r="135" spans="3:19" ht="15.75">
      <c r="C135" s="66"/>
      <c r="D135" s="66"/>
      <c r="E135" s="66"/>
      <c r="F135" s="66"/>
      <c r="G135" s="66"/>
      <c r="H135" s="66"/>
      <c r="I135" s="66"/>
      <c r="J135" s="66"/>
      <c r="K135" s="66"/>
      <c r="L135" s="264"/>
      <c r="M135" s="66"/>
      <c r="N135" s="66"/>
      <c r="O135" s="66"/>
      <c r="P135" s="66"/>
      <c r="Q135" s="66"/>
      <c r="R135" s="66"/>
      <c r="S135" s="66"/>
    </row>
    <row r="136" spans="3:19" ht="15.75">
      <c r="C136" s="66"/>
      <c r="D136" s="66"/>
      <c r="E136" s="66"/>
      <c r="F136" s="66"/>
      <c r="G136" s="66"/>
      <c r="H136" s="66"/>
      <c r="I136" s="66"/>
      <c r="J136" s="66"/>
      <c r="K136" s="66"/>
      <c r="L136" s="264"/>
      <c r="M136" s="66"/>
      <c r="N136" s="66"/>
      <c r="O136" s="66"/>
      <c r="P136" s="66"/>
      <c r="Q136" s="66"/>
      <c r="R136" s="66"/>
      <c r="S136" s="66"/>
    </row>
    <row r="137" spans="3:19" ht="15.75">
      <c r="C137" s="66"/>
      <c r="D137" s="66"/>
      <c r="E137" s="66"/>
      <c r="F137" s="66"/>
      <c r="G137" s="66"/>
      <c r="H137" s="66"/>
      <c r="I137" s="66"/>
      <c r="J137" s="66"/>
      <c r="K137" s="66"/>
      <c r="L137" s="264"/>
      <c r="M137" s="66"/>
      <c r="N137" s="66"/>
      <c r="O137" s="66"/>
      <c r="P137" s="66"/>
      <c r="Q137" s="66"/>
      <c r="R137" s="66"/>
      <c r="S137" s="66"/>
    </row>
    <row r="138" spans="3:19" ht="15.75">
      <c r="C138" s="66"/>
      <c r="D138" s="66"/>
      <c r="E138" s="66"/>
      <c r="F138" s="66"/>
      <c r="G138" s="66"/>
      <c r="H138" s="66"/>
      <c r="I138" s="66"/>
      <c r="J138" s="66"/>
      <c r="K138" s="66"/>
      <c r="L138" s="264"/>
      <c r="M138" s="66"/>
      <c r="N138" s="66"/>
      <c r="O138" s="66"/>
      <c r="P138" s="66"/>
      <c r="Q138" s="66"/>
      <c r="R138" s="66"/>
      <c r="S138" s="66"/>
    </row>
    <row r="139" spans="3:19" ht="15.75">
      <c r="C139" s="66"/>
      <c r="D139" s="66"/>
      <c r="E139" s="66"/>
      <c r="F139" s="66"/>
      <c r="G139" s="66"/>
      <c r="H139" s="66"/>
      <c r="I139" s="66"/>
      <c r="J139" s="66"/>
      <c r="K139" s="66"/>
      <c r="L139" s="264"/>
      <c r="M139" s="66"/>
      <c r="N139" s="66"/>
      <c r="O139" s="66"/>
      <c r="P139" s="66"/>
      <c r="Q139" s="66"/>
      <c r="R139" s="66"/>
      <c r="S139" s="66"/>
    </row>
    <row r="140" spans="3:19" ht="15.75">
      <c r="C140" s="66"/>
      <c r="D140" s="66"/>
      <c r="E140" s="66"/>
      <c r="F140" s="66"/>
      <c r="G140" s="66"/>
      <c r="H140" s="66"/>
      <c r="I140" s="66"/>
      <c r="J140" s="66"/>
      <c r="K140" s="66"/>
      <c r="L140" s="264"/>
      <c r="M140" s="66"/>
      <c r="N140" s="66"/>
      <c r="O140" s="66"/>
      <c r="P140" s="66"/>
      <c r="Q140" s="66"/>
      <c r="R140" s="66"/>
      <c r="S140" s="66"/>
    </row>
    <row r="141" spans="3:19" ht="15.75">
      <c r="C141" s="66"/>
      <c r="D141" s="66"/>
      <c r="E141" s="66"/>
      <c r="F141" s="66"/>
      <c r="G141" s="66"/>
      <c r="H141" s="66"/>
      <c r="I141" s="66"/>
      <c r="J141" s="66"/>
      <c r="K141" s="66"/>
      <c r="L141" s="264"/>
      <c r="M141" s="66"/>
      <c r="N141" s="66"/>
      <c r="O141" s="66"/>
      <c r="P141" s="66"/>
      <c r="Q141" s="66"/>
      <c r="R141" s="66"/>
      <c r="S141" s="66"/>
    </row>
    <row r="142" spans="3:19" ht="15.75">
      <c r="C142" s="66"/>
      <c r="D142" s="66"/>
      <c r="E142" s="66"/>
      <c r="F142" s="66"/>
      <c r="G142" s="66"/>
      <c r="H142" s="66"/>
      <c r="I142" s="66"/>
      <c r="J142" s="66"/>
      <c r="K142" s="66"/>
      <c r="L142" s="264"/>
      <c r="M142" s="66"/>
      <c r="N142" s="66"/>
      <c r="O142" s="66"/>
      <c r="P142" s="66"/>
      <c r="Q142" s="66"/>
      <c r="R142" s="66"/>
      <c r="S142" s="66"/>
    </row>
    <row r="143" spans="3:19" ht="15.75">
      <c r="C143" s="66"/>
      <c r="D143" s="66"/>
      <c r="E143" s="66"/>
      <c r="F143" s="66"/>
      <c r="G143" s="66"/>
      <c r="H143" s="66"/>
      <c r="I143" s="66"/>
      <c r="J143" s="66"/>
      <c r="K143" s="66"/>
      <c r="L143" s="264"/>
      <c r="M143" s="66"/>
      <c r="N143" s="66"/>
      <c r="O143" s="66"/>
      <c r="P143" s="66"/>
      <c r="Q143" s="66"/>
      <c r="R143" s="66"/>
      <c r="S143" s="66"/>
    </row>
    <row r="144" spans="3:19" ht="15.75">
      <c r="C144" s="66"/>
      <c r="D144" s="66"/>
      <c r="E144" s="66"/>
      <c r="F144" s="66"/>
      <c r="G144" s="66"/>
      <c r="H144" s="66"/>
      <c r="I144" s="66"/>
      <c r="J144" s="66"/>
      <c r="K144" s="66"/>
      <c r="L144" s="264"/>
      <c r="M144" s="66"/>
      <c r="N144" s="66"/>
      <c r="O144" s="66"/>
      <c r="P144" s="66"/>
      <c r="Q144" s="66"/>
      <c r="R144" s="66"/>
      <c r="S144" s="66"/>
    </row>
    <row r="145" spans="3:19" ht="15.75">
      <c r="C145" s="66"/>
      <c r="D145" s="66"/>
      <c r="E145" s="66"/>
      <c r="F145" s="66"/>
      <c r="G145" s="66"/>
      <c r="H145" s="66"/>
      <c r="I145" s="66"/>
      <c r="J145" s="66"/>
      <c r="K145" s="66"/>
      <c r="L145" s="264"/>
      <c r="M145" s="66"/>
      <c r="N145" s="66"/>
      <c r="O145" s="66"/>
      <c r="P145" s="66"/>
      <c r="Q145" s="66"/>
      <c r="R145" s="66"/>
      <c r="S145" s="66"/>
    </row>
    <row r="146" spans="3:19" ht="15.75">
      <c r="C146" s="66"/>
      <c r="D146" s="66"/>
      <c r="E146" s="66"/>
      <c r="F146" s="66"/>
      <c r="G146" s="66"/>
      <c r="H146" s="66"/>
      <c r="I146" s="66"/>
      <c r="J146" s="66"/>
      <c r="K146" s="66"/>
      <c r="L146" s="264"/>
      <c r="M146" s="66"/>
      <c r="N146" s="66"/>
      <c r="O146" s="66"/>
      <c r="P146" s="66"/>
      <c r="Q146" s="66"/>
      <c r="R146" s="66"/>
      <c r="S146" s="66"/>
    </row>
    <row r="147" spans="3:19" ht="15.75">
      <c r="C147" s="66"/>
      <c r="D147" s="66"/>
      <c r="E147" s="66"/>
      <c r="F147" s="66"/>
      <c r="G147" s="66"/>
      <c r="H147" s="66"/>
      <c r="I147" s="66"/>
      <c r="J147" s="66"/>
      <c r="K147" s="66"/>
      <c r="L147" s="264"/>
      <c r="M147" s="66"/>
      <c r="N147" s="66"/>
      <c r="O147" s="66"/>
      <c r="P147" s="66"/>
      <c r="Q147" s="66"/>
      <c r="R147" s="66"/>
      <c r="S147" s="66"/>
    </row>
    <row r="148" spans="3:19" ht="15.75">
      <c r="C148" s="66"/>
      <c r="D148" s="66"/>
      <c r="E148" s="66"/>
      <c r="F148" s="66"/>
      <c r="G148" s="66"/>
      <c r="H148" s="66"/>
      <c r="I148" s="66"/>
      <c r="J148" s="66"/>
      <c r="K148" s="66"/>
      <c r="L148" s="264"/>
      <c r="M148" s="66"/>
      <c r="N148" s="66"/>
      <c r="O148" s="66"/>
      <c r="P148" s="66"/>
      <c r="Q148" s="66"/>
      <c r="R148" s="66"/>
      <c r="S148" s="66"/>
    </row>
    <row r="149" spans="3:19" ht="15.75">
      <c r="C149" s="66"/>
      <c r="D149" s="66"/>
      <c r="E149" s="66"/>
      <c r="F149" s="66"/>
      <c r="G149" s="66"/>
      <c r="H149" s="66"/>
      <c r="I149" s="66"/>
      <c r="J149" s="66"/>
      <c r="K149" s="66"/>
      <c r="L149" s="264"/>
      <c r="M149" s="66"/>
      <c r="N149" s="66"/>
      <c r="O149" s="66"/>
      <c r="P149" s="66"/>
      <c r="Q149" s="66"/>
      <c r="R149" s="66"/>
      <c r="S149" s="66"/>
    </row>
    <row r="150" spans="3:19" ht="15.75">
      <c r="C150" s="66"/>
      <c r="D150" s="66"/>
      <c r="E150" s="66"/>
      <c r="F150" s="66"/>
      <c r="G150" s="66"/>
      <c r="H150" s="66"/>
      <c r="I150" s="66"/>
      <c r="J150" s="66"/>
      <c r="K150" s="66"/>
      <c r="L150" s="264"/>
      <c r="M150" s="66"/>
      <c r="N150" s="66"/>
      <c r="O150" s="66"/>
      <c r="P150" s="66"/>
      <c r="Q150" s="66"/>
      <c r="R150" s="66"/>
      <c r="S150" s="66"/>
    </row>
    <row r="151" spans="3:19" ht="15.75">
      <c r="C151" s="66"/>
      <c r="D151" s="66"/>
      <c r="E151" s="66"/>
      <c r="F151" s="66"/>
      <c r="G151" s="66"/>
      <c r="H151" s="66"/>
      <c r="I151" s="66"/>
      <c r="J151" s="66"/>
      <c r="K151" s="66"/>
      <c r="L151" s="264"/>
      <c r="M151" s="66"/>
      <c r="N151" s="66"/>
      <c r="O151" s="66"/>
      <c r="P151" s="66"/>
      <c r="Q151" s="66"/>
      <c r="R151" s="66"/>
      <c r="S151" s="66"/>
    </row>
    <row r="152" spans="3:19" ht="15.75">
      <c r="C152" s="66"/>
      <c r="D152" s="66"/>
      <c r="E152" s="66"/>
      <c r="F152" s="66"/>
      <c r="G152" s="66"/>
      <c r="H152" s="66"/>
      <c r="I152" s="66"/>
      <c r="J152" s="66"/>
      <c r="K152" s="66"/>
      <c r="L152" s="264"/>
      <c r="M152" s="66"/>
      <c r="N152" s="66"/>
      <c r="O152" s="66"/>
      <c r="P152" s="66"/>
      <c r="Q152" s="66"/>
      <c r="R152" s="66"/>
      <c r="S152" s="66"/>
    </row>
    <row r="153" spans="3:19" ht="15.75">
      <c r="C153" s="66"/>
      <c r="D153" s="66"/>
      <c r="E153" s="66"/>
      <c r="F153" s="66"/>
      <c r="G153" s="66"/>
      <c r="H153" s="66"/>
      <c r="I153" s="66"/>
      <c r="J153" s="66"/>
      <c r="K153" s="66"/>
      <c r="L153" s="264"/>
      <c r="M153" s="66"/>
      <c r="N153" s="66"/>
      <c r="O153" s="66"/>
      <c r="P153" s="66"/>
      <c r="Q153" s="66"/>
      <c r="R153" s="66"/>
      <c r="S153" s="66"/>
    </row>
    <row r="154" spans="3:19" ht="15.75">
      <c r="C154" s="66"/>
      <c r="D154" s="66"/>
      <c r="E154" s="66"/>
      <c r="F154" s="66"/>
      <c r="G154" s="66"/>
      <c r="H154" s="66"/>
      <c r="I154" s="66"/>
      <c r="J154" s="66"/>
      <c r="K154" s="66"/>
      <c r="L154" s="264"/>
      <c r="M154" s="66"/>
      <c r="N154" s="66"/>
      <c r="O154" s="66"/>
      <c r="P154" s="66"/>
      <c r="Q154" s="66"/>
      <c r="R154" s="66"/>
      <c r="S154" s="66"/>
    </row>
    <row r="155" spans="3:19" ht="15.75">
      <c r="C155" s="66"/>
      <c r="D155" s="66"/>
      <c r="E155" s="66"/>
      <c r="F155" s="66"/>
      <c r="G155" s="66"/>
      <c r="H155" s="66"/>
      <c r="I155" s="66"/>
      <c r="J155" s="66"/>
      <c r="K155" s="66"/>
      <c r="L155" s="264"/>
      <c r="M155" s="66"/>
      <c r="N155" s="66"/>
      <c r="O155" s="66"/>
      <c r="P155" s="66"/>
      <c r="Q155" s="66"/>
      <c r="R155" s="66"/>
      <c r="S155" s="66"/>
    </row>
    <row r="156" spans="3:19" ht="15.75">
      <c r="C156" s="66"/>
      <c r="D156" s="66"/>
      <c r="E156" s="66"/>
      <c r="F156" s="66"/>
      <c r="G156" s="66"/>
      <c r="H156" s="66"/>
      <c r="I156" s="66"/>
      <c r="J156" s="66"/>
      <c r="K156" s="66"/>
      <c r="L156" s="264"/>
      <c r="M156" s="66"/>
      <c r="N156" s="66"/>
      <c r="O156" s="66"/>
      <c r="P156" s="66"/>
      <c r="Q156" s="66"/>
      <c r="R156" s="66"/>
      <c r="S156" s="66"/>
    </row>
    <row r="157" spans="3:19" ht="15.75">
      <c r="C157" s="66"/>
      <c r="D157" s="66"/>
      <c r="E157" s="66"/>
      <c r="F157" s="66"/>
      <c r="G157" s="66"/>
      <c r="H157" s="66"/>
      <c r="I157" s="66"/>
      <c r="J157" s="66"/>
      <c r="K157" s="66"/>
      <c r="L157" s="264"/>
      <c r="M157" s="66"/>
      <c r="N157" s="66"/>
      <c r="O157" s="66"/>
      <c r="P157" s="66"/>
      <c r="Q157" s="66"/>
      <c r="R157" s="66"/>
      <c r="S157" s="66"/>
    </row>
    <row r="158" spans="3:19" ht="15.75">
      <c r="C158" s="66"/>
      <c r="D158" s="66"/>
      <c r="E158" s="66"/>
      <c r="F158" s="66"/>
      <c r="G158" s="66"/>
      <c r="H158" s="66"/>
      <c r="I158" s="66"/>
      <c r="J158" s="66"/>
      <c r="K158" s="66"/>
      <c r="L158" s="264"/>
      <c r="M158" s="66"/>
      <c r="N158" s="66"/>
      <c r="O158" s="66"/>
      <c r="P158" s="66"/>
      <c r="Q158" s="66"/>
      <c r="R158" s="66"/>
      <c r="S158" s="66"/>
    </row>
    <row r="159" spans="3:19" ht="15.75">
      <c r="C159" s="66"/>
      <c r="D159" s="66"/>
      <c r="E159" s="66"/>
      <c r="F159" s="66"/>
      <c r="G159" s="66"/>
      <c r="H159" s="66"/>
      <c r="I159" s="66"/>
      <c r="J159" s="66"/>
      <c r="K159" s="66"/>
      <c r="L159" s="264"/>
      <c r="M159" s="66"/>
      <c r="N159" s="66"/>
      <c r="O159" s="66"/>
      <c r="P159" s="66"/>
      <c r="Q159" s="66"/>
      <c r="R159" s="66"/>
      <c r="S159" s="66"/>
    </row>
    <row r="160" spans="3:19" ht="15.75">
      <c r="C160" s="66"/>
      <c r="D160" s="66"/>
      <c r="E160" s="66"/>
      <c r="F160" s="66"/>
      <c r="G160" s="66"/>
      <c r="H160" s="66"/>
      <c r="I160" s="66"/>
      <c r="J160" s="66"/>
      <c r="K160" s="66"/>
      <c r="L160" s="264"/>
      <c r="M160" s="66"/>
      <c r="N160" s="66"/>
      <c r="O160" s="66"/>
      <c r="P160" s="66"/>
      <c r="Q160" s="66"/>
      <c r="R160" s="66"/>
      <c r="S160" s="66"/>
    </row>
    <row r="161" spans="3:19" ht="15.75">
      <c r="C161" s="66"/>
      <c r="D161" s="66"/>
      <c r="E161" s="66"/>
      <c r="F161" s="66"/>
      <c r="G161" s="66"/>
      <c r="H161" s="66"/>
      <c r="I161" s="66"/>
      <c r="J161" s="66"/>
      <c r="K161" s="66"/>
      <c r="L161" s="264"/>
      <c r="M161" s="66"/>
      <c r="N161" s="66"/>
      <c r="O161" s="66"/>
      <c r="P161" s="66"/>
      <c r="Q161" s="66"/>
      <c r="R161" s="66"/>
      <c r="S161" s="66"/>
    </row>
    <row r="162" spans="3:19" ht="15.75">
      <c r="C162" s="66"/>
      <c r="D162" s="66"/>
      <c r="E162" s="66"/>
      <c r="F162" s="66"/>
      <c r="G162" s="66"/>
      <c r="H162" s="66"/>
      <c r="I162" s="66"/>
      <c r="J162" s="66"/>
      <c r="K162" s="66"/>
      <c r="L162" s="264"/>
      <c r="M162" s="66"/>
      <c r="N162" s="66"/>
      <c r="O162" s="66"/>
      <c r="P162" s="66"/>
      <c r="Q162" s="66"/>
      <c r="R162" s="66"/>
      <c r="S162" s="66"/>
    </row>
    <row r="163" spans="3:19" ht="15.75">
      <c r="C163" s="66"/>
      <c r="D163" s="66"/>
      <c r="E163" s="66"/>
      <c r="F163" s="66"/>
      <c r="G163" s="66"/>
      <c r="H163" s="66"/>
      <c r="I163" s="66"/>
      <c r="J163" s="66"/>
      <c r="K163" s="66"/>
      <c r="L163" s="264"/>
      <c r="M163" s="66"/>
      <c r="N163" s="66"/>
      <c r="O163" s="66"/>
      <c r="P163" s="66"/>
      <c r="Q163" s="66"/>
      <c r="R163" s="66"/>
      <c r="S163" s="66"/>
    </row>
    <row r="164" spans="3:19" ht="15.75">
      <c r="C164" s="66"/>
      <c r="D164" s="66"/>
      <c r="E164" s="66"/>
      <c r="F164" s="66"/>
      <c r="G164" s="66"/>
      <c r="H164" s="66"/>
      <c r="I164" s="66"/>
      <c r="J164" s="66"/>
      <c r="K164" s="66"/>
      <c r="L164" s="264"/>
      <c r="M164" s="66"/>
      <c r="N164" s="66"/>
      <c r="O164" s="66"/>
      <c r="P164" s="66"/>
      <c r="Q164" s="66"/>
      <c r="R164" s="66"/>
      <c r="S164" s="66"/>
    </row>
    <row r="165" spans="3:19" ht="15.75">
      <c r="C165" s="66"/>
      <c r="D165" s="66"/>
      <c r="E165" s="66"/>
      <c r="F165" s="66"/>
      <c r="G165" s="66"/>
      <c r="H165" s="66"/>
      <c r="I165" s="66"/>
      <c r="J165" s="66"/>
      <c r="K165" s="66"/>
      <c r="L165" s="264"/>
      <c r="M165" s="66"/>
      <c r="N165" s="66"/>
      <c r="O165" s="66"/>
      <c r="P165" s="66"/>
      <c r="Q165" s="66"/>
      <c r="R165" s="66"/>
      <c r="S165" s="66"/>
    </row>
    <row r="166" spans="3:19" ht="15.75">
      <c r="C166" s="66"/>
      <c r="D166" s="66"/>
      <c r="E166" s="66"/>
      <c r="F166" s="66"/>
      <c r="G166" s="66"/>
      <c r="H166" s="66"/>
      <c r="I166" s="66"/>
      <c r="J166" s="66"/>
      <c r="K166" s="66"/>
      <c r="L166" s="264"/>
      <c r="M166" s="66"/>
      <c r="N166" s="66"/>
      <c r="O166" s="66"/>
      <c r="P166" s="66"/>
      <c r="Q166" s="66"/>
      <c r="R166" s="66"/>
      <c r="S166" s="66"/>
    </row>
    <row r="167" spans="3:19" ht="15.75">
      <c r="C167" s="66"/>
      <c r="D167" s="66"/>
      <c r="E167" s="66"/>
      <c r="F167" s="66"/>
      <c r="G167" s="66"/>
      <c r="H167" s="66"/>
      <c r="I167" s="66"/>
      <c r="J167" s="66"/>
      <c r="K167" s="66"/>
      <c r="L167" s="264"/>
      <c r="M167" s="66"/>
      <c r="N167" s="66"/>
      <c r="O167" s="66"/>
      <c r="P167" s="66"/>
      <c r="Q167" s="66"/>
      <c r="R167" s="66"/>
      <c r="S167" s="66"/>
    </row>
    <row r="168" spans="3:19" ht="15.75">
      <c r="C168" s="66"/>
      <c r="D168" s="66"/>
      <c r="E168" s="66"/>
      <c r="F168" s="66"/>
      <c r="G168" s="66"/>
      <c r="H168" s="66"/>
      <c r="I168" s="66"/>
      <c r="J168" s="66"/>
      <c r="K168" s="66"/>
      <c r="L168" s="264"/>
      <c r="M168" s="66"/>
      <c r="N168" s="66"/>
      <c r="O168" s="66"/>
      <c r="P168" s="66"/>
      <c r="Q168" s="66"/>
      <c r="R168" s="66"/>
      <c r="S168" s="66"/>
    </row>
    <row r="169" spans="3:19" ht="15.75">
      <c r="C169" s="66"/>
      <c r="D169" s="66"/>
      <c r="E169" s="66"/>
      <c r="F169" s="66"/>
      <c r="G169" s="66"/>
      <c r="H169" s="66"/>
      <c r="I169" s="66"/>
      <c r="J169" s="66"/>
      <c r="K169" s="66"/>
      <c r="L169" s="264"/>
      <c r="M169" s="66"/>
      <c r="N169" s="66"/>
      <c r="O169" s="66"/>
      <c r="P169" s="66"/>
      <c r="Q169" s="66"/>
      <c r="R169" s="66"/>
      <c r="S169" s="66"/>
    </row>
    <row r="170" spans="3:19" ht="15.75">
      <c r="C170" s="66"/>
      <c r="D170" s="66"/>
      <c r="E170" s="66"/>
      <c r="F170" s="66"/>
      <c r="G170" s="66"/>
      <c r="H170" s="66"/>
      <c r="I170" s="66"/>
      <c r="J170" s="66"/>
      <c r="K170" s="66"/>
      <c r="L170" s="264"/>
      <c r="M170" s="66"/>
      <c r="N170" s="66"/>
      <c r="O170" s="66"/>
      <c r="P170" s="66"/>
      <c r="Q170" s="66"/>
      <c r="R170" s="66"/>
      <c r="S170" s="66"/>
    </row>
    <row r="171" spans="3:19" ht="15.75">
      <c r="C171" s="66"/>
      <c r="D171" s="66"/>
      <c r="E171" s="66"/>
      <c r="F171" s="66"/>
      <c r="G171" s="66"/>
      <c r="H171" s="66"/>
      <c r="I171" s="66"/>
      <c r="J171" s="66"/>
      <c r="K171" s="66"/>
      <c r="L171" s="264"/>
      <c r="M171" s="66"/>
      <c r="N171" s="66"/>
      <c r="O171" s="66"/>
      <c r="P171" s="66"/>
      <c r="Q171" s="66"/>
      <c r="R171" s="66"/>
      <c r="S171" s="66"/>
    </row>
    <row r="172" spans="3:19" ht="15.75">
      <c r="C172" s="66"/>
      <c r="D172" s="66"/>
      <c r="E172" s="66"/>
      <c r="F172" s="66"/>
      <c r="G172" s="66"/>
      <c r="H172" s="66"/>
      <c r="I172" s="66"/>
      <c r="J172" s="66"/>
      <c r="K172" s="66"/>
      <c r="L172" s="264"/>
      <c r="M172" s="66"/>
      <c r="N172" s="66"/>
      <c r="O172" s="66"/>
      <c r="P172" s="66"/>
      <c r="Q172" s="66"/>
      <c r="R172" s="66"/>
      <c r="S172" s="66"/>
    </row>
    <row r="173" spans="3:19" ht="15.75">
      <c r="C173" s="66"/>
      <c r="D173" s="66"/>
      <c r="E173" s="66"/>
      <c r="F173" s="66"/>
      <c r="G173" s="66"/>
      <c r="H173" s="66"/>
      <c r="I173" s="66"/>
      <c r="J173" s="66"/>
      <c r="K173" s="66"/>
      <c r="L173" s="264"/>
      <c r="M173" s="66"/>
      <c r="N173" s="66"/>
      <c r="O173" s="66"/>
      <c r="P173" s="66"/>
      <c r="Q173" s="66"/>
      <c r="R173" s="66"/>
      <c r="S173" s="66"/>
    </row>
    <row r="174" spans="3:19" ht="15.75">
      <c r="C174" s="66"/>
      <c r="D174" s="66"/>
      <c r="E174" s="66"/>
      <c r="F174" s="66"/>
      <c r="G174" s="66"/>
      <c r="H174" s="66"/>
      <c r="I174" s="66"/>
      <c r="J174" s="66"/>
      <c r="K174" s="66"/>
      <c r="L174" s="264"/>
      <c r="M174" s="66"/>
      <c r="N174" s="66"/>
      <c r="O174" s="66"/>
      <c r="P174" s="66"/>
      <c r="Q174" s="66"/>
      <c r="R174" s="66"/>
      <c r="S174" s="66"/>
    </row>
    <row r="175" spans="3:19" ht="15.75">
      <c r="C175" s="66"/>
      <c r="D175" s="66"/>
      <c r="E175" s="66"/>
      <c r="F175" s="66"/>
      <c r="G175" s="66"/>
      <c r="H175" s="66"/>
      <c r="I175" s="66"/>
      <c r="J175" s="66"/>
      <c r="K175" s="66"/>
      <c r="L175" s="264"/>
      <c r="M175" s="66"/>
      <c r="N175" s="66"/>
      <c r="O175" s="66"/>
      <c r="P175" s="66"/>
      <c r="Q175" s="66"/>
      <c r="R175" s="66"/>
      <c r="S175" s="66"/>
    </row>
    <row r="176" spans="3:19" ht="15.75">
      <c r="C176" s="66"/>
      <c r="D176" s="66"/>
      <c r="E176" s="66"/>
      <c r="F176" s="66"/>
      <c r="G176" s="66"/>
      <c r="H176" s="66"/>
      <c r="I176" s="66"/>
      <c r="J176" s="66"/>
      <c r="K176" s="66"/>
      <c r="L176" s="264"/>
      <c r="M176" s="66"/>
      <c r="N176" s="66"/>
      <c r="O176" s="66"/>
      <c r="P176" s="66"/>
      <c r="Q176" s="66"/>
      <c r="R176" s="66"/>
      <c r="S176" s="66"/>
    </row>
    <row r="177" spans="3:19" ht="15.75">
      <c r="C177" s="66"/>
      <c r="D177" s="66"/>
      <c r="E177" s="66"/>
      <c r="F177" s="66"/>
      <c r="G177" s="66"/>
      <c r="H177" s="66"/>
      <c r="I177" s="66"/>
      <c r="J177" s="66"/>
      <c r="K177" s="66"/>
      <c r="L177" s="264"/>
      <c r="M177" s="66"/>
      <c r="N177" s="66"/>
      <c r="O177" s="66"/>
      <c r="P177" s="66"/>
      <c r="Q177" s="66"/>
      <c r="R177" s="66"/>
      <c r="S177" s="66"/>
    </row>
    <row r="178" spans="3:19" ht="15.75">
      <c r="C178" s="66"/>
      <c r="D178" s="66"/>
      <c r="E178" s="66"/>
      <c r="F178" s="66"/>
      <c r="G178" s="66"/>
      <c r="H178" s="66"/>
      <c r="I178" s="66"/>
      <c r="J178" s="66"/>
      <c r="K178" s="66"/>
      <c r="L178" s="264"/>
      <c r="M178" s="66"/>
      <c r="N178" s="66"/>
      <c r="O178" s="66"/>
      <c r="P178" s="66"/>
      <c r="Q178" s="66"/>
      <c r="R178" s="66"/>
      <c r="S178" s="66"/>
    </row>
    <row r="179" spans="3:19" ht="15.75">
      <c r="C179" s="66"/>
      <c r="D179" s="66"/>
      <c r="E179" s="66"/>
      <c r="F179" s="66"/>
      <c r="G179" s="66"/>
      <c r="H179" s="66"/>
      <c r="I179" s="66"/>
      <c r="J179" s="66"/>
      <c r="K179" s="66"/>
      <c r="L179" s="264"/>
      <c r="M179" s="66"/>
      <c r="N179" s="66"/>
      <c r="O179" s="66"/>
      <c r="P179" s="66"/>
      <c r="Q179" s="66"/>
      <c r="R179" s="66"/>
      <c r="S179" s="66"/>
    </row>
    <row r="180" spans="3:19" ht="15.75">
      <c r="C180" s="66"/>
      <c r="D180" s="66"/>
      <c r="E180" s="66"/>
      <c r="F180" s="66"/>
      <c r="G180" s="66"/>
      <c r="H180" s="66"/>
      <c r="I180" s="66"/>
      <c r="J180" s="66"/>
      <c r="K180" s="66"/>
      <c r="L180" s="264"/>
      <c r="M180" s="66"/>
      <c r="N180" s="66"/>
      <c r="O180" s="66"/>
      <c r="P180" s="66"/>
      <c r="Q180" s="66"/>
      <c r="R180" s="66"/>
      <c r="S180" s="66"/>
    </row>
    <row r="181" spans="3:19" ht="15.75">
      <c r="C181" s="66"/>
      <c r="D181" s="66"/>
      <c r="E181" s="66"/>
      <c r="F181" s="66"/>
      <c r="G181" s="66"/>
      <c r="H181" s="66"/>
      <c r="I181" s="66"/>
      <c r="J181" s="66"/>
      <c r="K181" s="66"/>
      <c r="L181" s="264"/>
      <c r="M181" s="66"/>
      <c r="N181" s="66"/>
      <c r="O181" s="66"/>
      <c r="P181" s="66"/>
      <c r="Q181" s="66"/>
      <c r="R181" s="66"/>
      <c r="S181" s="66"/>
    </row>
    <row r="182" spans="3:19" ht="15.75">
      <c r="C182" s="66"/>
      <c r="D182" s="66"/>
      <c r="E182" s="66"/>
      <c r="F182" s="66"/>
      <c r="G182" s="66"/>
      <c r="H182" s="66"/>
      <c r="I182" s="66"/>
      <c r="J182" s="66"/>
      <c r="K182" s="66"/>
      <c r="L182" s="264"/>
      <c r="M182" s="66"/>
      <c r="N182" s="66"/>
      <c r="O182" s="66"/>
      <c r="P182" s="66"/>
      <c r="Q182" s="66"/>
      <c r="R182" s="66"/>
      <c r="S182" s="66"/>
    </row>
    <row r="183" spans="3:19" ht="15.75">
      <c r="C183" s="66"/>
      <c r="D183" s="66"/>
      <c r="E183" s="66"/>
      <c r="F183" s="66"/>
      <c r="G183" s="66"/>
      <c r="H183" s="66"/>
      <c r="I183" s="66"/>
      <c r="J183" s="66"/>
      <c r="K183" s="66"/>
      <c r="L183" s="264"/>
      <c r="M183" s="66"/>
      <c r="N183" s="66"/>
      <c r="O183" s="66"/>
      <c r="P183" s="66"/>
      <c r="Q183" s="66"/>
      <c r="R183" s="66"/>
      <c r="S183" s="66"/>
    </row>
    <row r="184" spans="3:19" ht="15.75">
      <c r="C184" s="66"/>
      <c r="D184" s="66"/>
      <c r="E184" s="66"/>
      <c r="F184" s="66"/>
      <c r="G184" s="66"/>
      <c r="H184" s="66"/>
      <c r="I184" s="66"/>
      <c r="J184" s="66"/>
      <c r="K184" s="66"/>
      <c r="L184" s="264"/>
      <c r="M184" s="66"/>
      <c r="N184" s="66"/>
      <c r="O184" s="66"/>
      <c r="P184" s="66"/>
      <c r="Q184" s="66"/>
      <c r="R184" s="66"/>
      <c r="S184" s="66"/>
    </row>
    <row r="185" spans="3:19" ht="15.75">
      <c r="C185" s="66"/>
      <c r="D185" s="66"/>
      <c r="E185" s="66"/>
      <c r="F185" s="66"/>
      <c r="G185" s="66"/>
      <c r="H185" s="66"/>
      <c r="I185" s="66"/>
      <c r="J185" s="66"/>
      <c r="K185" s="66"/>
      <c r="L185" s="264"/>
      <c r="M185" s="66"/>
      <c r="N185" s="66"/>
      <c r="O185" s="66"/>
      <c r="P185" s="66"/>
      <c r="Q185" s="66"/>
      <c r="R185" s="66"/>
      <c r="S185" s="66"/>
    </row>
    <row r="186" spans="3:19" ht="15.75">
      <c r="C186" s="66"/>
      <c r="D186" s="66"/>
      <c r="E186" s="66"/>
      <c r="F186" s="66"/>
      <c r="G186" s="66"/>
      <c r="H186" s="66"/>
      <c r="I186" s="66"/>
      <c r="J186" s="66"/>
      <c r="K186" s="66"/>
      <c r="L186" s="264"/>
      <c r="M186" s="66"/>
      <c r="N186" s="66"/>
      <c r="O186" s="66"/>
      <c r="P186" s="66"/>
      <c r="Q186" s="66"/>
      <c r="R186" s="66"/>
      <c r="S186" s="66"/>
    </row>
    <row r="187" spans="3:19" ht="15.75">
      <c r="C187" s="66"/>
      <c r="D187" s="66"/>
      <c r="E187" s="66"/>
      <c r="F187" s="66"/>
      <c r="G187" s="66"/>
      <c r="H187" s="66"/>
      <c r="I187" s="66"/>
      <c r="J187" s="66"/>
      <c r="K187" s="66"/>
      <c r="L187" s="264"/>
      <c r="M187" s="66"/>
      <c r="N187" s="66"/>
      <c r="O187" s="66"/>
      <c r="P187" s="66"/>
      <c r="Q187" s="66"/>
      <c r="R187" s="66"/>
      <c r="S187" s="66"/>
    </row>
    <row r="188" spans="3:19" ht="15.75">
      <c r="C188" s="66"/>
      <c r="D188" s="66"/>
      <c r="E188" s="66"/>
      <c r="F188" s="66"/>
      <c r="G188" s="66"/>
      <c r="H188" s="66"/>
      <c r="I188" s="66"/>
      <c r="J188" s="66"/>
      <c r="K188" s="66"/>
      <c r="L188" s="264"/>
      <c r="M188" s="66"/>
      <c r="N188" s="66"/>
      <c r="O188" s="66"/>
      <c r="P188" s="66"/>
      <c r="Q188" s="66"/>
      <c r="R188" s="66"/>
      <c r="S188" s="66"/>
    </row>
    <row r="189" spans="3:19" ht="15.75">
      <c r="C189" s="66"/>
      <c r="D189" s="66"/>
      <c r="E189" s="66"/>
      <c r="F189" s="66"/>
      <c r="G189" s="66"/>
      <c r="H189" s="66"/>
      <c r="I189" s="66"/>
      <c r="J189" s="66"/>
      <c r="K189" s="66"/>
      <c r="L189" s="264"/>
      <c r="M189" s="66"/>
      <c r="N189" s="66"/>
      <c r="O189" s="66"/>
      <c r="P189" s="66"/>
      <c r="Q189" s="66"/>
      <c r="R189" s="66"/>
      <c r="S189" s="66"/>
    </row>
    <row r="190" spans="3:19" ht="15.75">
      <c r="C190" s="66"/>
      <c r="D190" s="66"/>
      <c r="E190" s="66"/>
      <c r="F190" s="66"/>
      <c r="G190" s="66"/>
      <c r="H190" s="66"/>
      <c r="I190" s="66"/>
      <c r="J190" s="66"/>
      <c r="K190" s="66"/>
      <c r="L190" s="264"/>
      <c r="M190" s="66"/>
      <c r="N190" s="66"/>
      <c r="O190" s="66"/>
      <c r="P190" s="66"/>
      <c r="Q190" s="66"/>
      <c r="R190" s="66"/>
      <c r="S190" s="66"/>
    </row>
    <row r="191" spans="3:19" ht="15.75">
      <c r="C191" s="66"/>
      <c r="D191" s="66"/>
      <c r="E191" s="66"/>
      <c r="F191" s="66"/>
      <c r="G191" s="66"/>
      <c r="H191" s="66"/>
      <c r="I191" s="66"/>
      <c r="J191" s="66"/>
      <c r="K191" s="66"/>
      <c r="L191" s="264"/>
      <c r="M191" s="66"/>
      <c r="N191" s="66"/>
      <c r="O191" s="66"/>
      <c r="P191" s="66"/>
      <c r="Q191" s="66"/>
      <c r="R191" s="66"/>
      <c r="S191" s="66"/>
    </row>
    <row r="192" spans="3:19" ht="15.75">
      <c r="C192" s="66"/>
      <c r="D192" s="66"/>
      <c r="E192" s="66"/>
      <c r="F192" s="66"/>
      <c r="G192" s="66"/>
      <c r="H192" s="66"/>
      <c r="I192" s="66"/>
      <c r="J192" s="66"/>
      <c r="K192" s="66"/>
      <c r="L192" s="264"/>
      <c r="M192" s="66"/>
      <c r="N192" s="66"/>
      <c r="O192" s="66"/>
      <c r="P192" s="66"/>
      <c r="Q192" s="66"/>
      <c r="R192" s="66"/>
      <c r="S192" s="66"/>
    </row>
    <row r="193" spans="3:19" ht="15.75">
      <c r="C193" s="66"/>
      <c r="D193" s="66"/>
      <c r="E193" s="66"/>
      <c r="F193" s="66"/>
      <c r="G193" s="66"/>
      <c r="H193" s="66"/>
      <c r="I193" s="66"/>
      <c r="J193" s="66"/>
      <c r="K193" s="66"/>
      <c r="L193" s="264"/>
      <c r="M193" s="66"/>
      <c r="N193" s="66"/>
      <c r="O193" s="66"/>
      <c r="P193" s="66"/>
      <c r="Q193" s="66"/>
      <c r="R193" s="66"/>
      <c r="S193" s="66"/>
    </row>
    <row r="194" spans="3:19" ht="15.75">
      <c r="C194" s="66"/>
      <c r="D194" s="66"/>
      <c r="E194" s="66"/>
      <c r="F194" s="66"/>
      <c r="G194" s="66"/>
      <c r="H194" s="66"/>
      <c r="I194" s="66"/>
      <c r="J194" s="66"/>
      <c r="K194" s="66"/>
      <c r="L194" s="264"/>
      <c r="M194" s="66"/>
      <c r="N194" s="66"/>
      <c r="O194" s="66"/>
      <c r="P194" s="66"/>
      <c r="Q194" s="66"/>
      <c r="R194" s="66"/>
      <c r="S194" s="66"/>
    </row>
    <row r="195" spans="3:19" ht="15.75">
      <c r="C195" s="66"/>
      <c r="D195" s="66"/>
      <c r="E195" s="66"/>
      <c r="F195" s="66"/>
      <c r="G195" s="66"/>
      <c r="H195" s="66"/>
      <c r="I195" s="66"/>
      <c r="J195" s="66"/>
      <c r="K195" s="66"/>
      <c r="L195" s="264"/>
      <c r="M195" s="66"/>
      <c r="N195" s="66"/>
      <c r="O195" s="66"/>
      <c r="P195" s="66"/>
      <c r="Q195" s="66"/>
      <c r="R195" s="66"/>
      <c r="S195" s="66"/>
    </row>
    <row r="196" spans="3:19" ht="15.75">
      <c r="C196" s="66"/>
      <c r="D196" s="66"/>
      <c r="E196" s="66"/>
      <c r="F196" s="66"/>
      <c r="G196" s="66"/>
      <c r="H196" s="66"/>
      <c r="I196" s="66"/>
      <c r="J196" s="66"/>
      <c r="K196" s="66"/>
      <c r="L196" s="264"/>
      <c r="M196" s="66"/>
      <c r="N196" s="66"/>
      <c r="O196" s="66"/>
      <c r="P196" s="66"/>
      <c r="Q196" s="66"/>
      <c r="R196" s="66"/>
      <c r="S196" s="66"/>
    </row>
    <row r="197" spans="3:19" ht="15.75">
      <c r="C197" s="66"/>
      <c r="D197" s="66"/>
      <c r="E197" s="66"/>
      <c r="F197" s="66"/>
      <c r="G197" s="66"/>
      <c r="H197" s="66"/>
      <c r="I197" s="66"/>
      <c r="J197" s="66"/>
      <c r="K197" s="66"/>
      <c r="L197" s="264"/>
      <c r="M197" s="66"/>
      <c r="N197" s="66"/>
      <c r="O197" s="66"/>
      <c r="P197" s="66"/>
      <c r="Q197" s="66"/>
      <c r="R197" s="66"/>
      <c r="S197" s="66"/>
    </row>
    <row r="198" spans="3:19" ht="15.75">
      <c r="C198" s="66"/>
      <c r="D198" s="66"/>
      <c r="E198" s="66"/>
      <c r="F198" s="66"/>
      <c r="G198" s="66"/>
      <c r="H198" s="66"/>
      <c r="I198" s="66"/>
      <c r="J198" s="66"/>
      <c r="K198" s="66"/>
      <c r="L198" s="264"/>
      <c r="M198" s="66"/>
      <c r="N198" s="66"/>
      <c r="O198" s="66"/>
      <c r="P198" s="66"/>
      <c r="Q198" s="66"/>
      <c r="R198" s="66"/>
      <c r="S198" s="66"/>
    </row>
    <row r="199" spans="3:19" ht="15.75">
      <c r="C199" s="66"/>
      <c r="D199" s="66"/>
      <c r="E199" s="66"/>
      <c r="F199" s="66"/>
      <c r="G199" s="66"/>
      <c r="H199" s="66"/>
      <c r="I199" s="66"/>
      <c r="J199" s="66"/>
      <c r="K199" s="66"/>
      <c r="L199" s="264"/>
      <c r="M199" s="66"/>
      <c r="N199" s="66"/>
      <c r="O199" s="66"/>
      <c r="P199" s="66"/>
      <c r="Q199" s="66"/>
      <c r="R199" s="66"/>
      <c r="S199" s="66"/>
    </row>
    <row r="200" spans="3:19" ht="15.75">
      <c r="C200" s="66"/>
      <c r="D200" s="66"/>
      <c r="E200" s="66"/>
      <c r="F200" s="66"/>
      <c r="G200" s="66"/>
      <c r="H200" s="66"/>
      <c r="I200" s="66"/>
      <c r="J200" s="66"/>
      <c r="K200" s="66"/>
      <c r="L200" s="264"/>
      <c r="M200" s="66"/>
      <c r="N200" s="66"/>
      <c r="O200" s="66"/>
      <c r="P200" s="66"/>
      <c r="Q200" s="66"/>
      <c r="R200" s="66"/>
      <c r="S200" s="66"/>
    </row>
    <row r="201" spans="3:19" ht="15.75">
      <c r="C201" s="66"/>
      <c r="D201" s="66"/>
      <c r="E201" s="66"/>
      <c r="F201" s="66"/>
      <c r="G201" s="66"/>
      <c r="H201" s="66"/>
      <c r="I201" s="66"/>
      <c r="J201" s="66"/>
      <c r="K201" s="66"/>
      <c r="L201" s="264"/>
      <c r="M201" s="66"/>
      <c r="N201" s="66"/>
      <c r="O201" s="66"/>
      <c r="P201" s="66"/>
      <c r="Q201" s="66"/>
      <c r="R201" s="66"/>
      <c r="S201" s="66"/>
    </row>
    <row r="202" spans="3:19" ht="15.75">
      <c r="C202" s="66"/>
      <c r="D202" s="66"/>
      <c r="E202" s="66"/>
      <c r="F202" s="66"/>
      <c r="G202" s="66"/>
      <c r="H202" s="66"/>
      <c r="I202" s="66"/>
      <c r="J202" s="66"/>
      <c r="K202" s="66"/>
      <c r="L202" s="264"/>
      <c r="M202" s="66"/>
      <c r="N202" s="66"/>
      <c r="O202" s="66"/>
      <c r="P202" s="66"/>
      <c r="Q202" s="66"/>
      <c r="R202" s="66"/>
      <c r="S202" s="66"/>
    </row>
    <row r="203" spans="3:19" ht="15.75">
      <c r="C203" s="66"/>
      <c r="D203" s="66"/>
      <c r="E203" s="66"/>
      <c r="F203" s="66"/>
      <c r="G203" s="66"/>
      <c r="H203" s="66"/>
      <c r="I203" s="66"/>
      <c r="J203" s="66"/>
      <c r="K203" s="66"/>
      <c r="L203" s="264"/>
      <c r="M203" s="66"/>
      <c r="N203" s="66"/>
      <c r="O203" s="66"/>
      <c r="P203" s="66"/>
      <c r="Q203" s="66"/>
      <c r="R203" s="66"/>
      <c r="S203" s="66"/>
    </row>
    <row r="204" spans="3:19" ht="15.75">
      <c r="C204" s="66"/>
      <c r="D204" s="66"/>
      <c r="E204" s="66"/>
      <c r="F204" s="66"/>
      <c r="G204" s="66"/>
      <c r="H204" s="66"/>
      <c r="I204" s="66"/>
      <c r="J204" s="66"/>
      <c r="K204" s="66"/>
      <c r="L204" s="264"/>
      <c r="M204" s="66"/>
      <c r="N204" s="66"/>
      <c r="O204" s="66"/>
      <c r="P204" s="66"/>
      <c r="Q204" s="66"/>
      <c r="R204" s="66"/>
      <c r="S204" s="66"/>
    </row>
    <row r="205" spans="3:19" ht="15.75">
      <c r="C205" s="66"/>
      <c r="D205" s="66"/>
      <c r="E205" s="66"/>
      <c r="F205" s="66"/>
      <c r="G205" s="66"/>
      <c r="H205" s="66"/>
      <c r="I205" s="66"/>
      <c r="J205" s="66"/>
      <c r="K205" s="66"/>
      <c r="L205" s="264"/>
      <c r="M205" s="66"/>
      <c r="N205" s="66"/>
      <c r="O205" s="66"/>
      <c r="P205" s="66"/>
      <c r="Q205" s="66"/>
      <c r="R205" s="66"/>
      <c r="S205" s="66"/>
    </row>
    <row r="206" spans="3:19" ht="15.75">
      <c r="C206" s="66"/>
      <c r="D206" s="66"/>
      <c r="E206" s="66"/>
      <c r="F206" s="66"/>
      <c r="G206" s="66"/>
      <c r="H206" s="66"/>
      <c r="I206" s="66"/>
      <c r="J206" s="66"/>
      <c r="K206" s="66"/>
      <c r="L206" s="264"/>
      <c r="M206" s="66"/>
      <c r="N206" s="66"/>
      <c r="O206" s="66"/>
      <c r="P206" s="66"/>
      <c r="Q206" s="66"/>
      <c r="R206" s="66"/>
      <c r="S206" s="66"/>
    </row>
    <row r="207" spans="3:19" ht="15.75">
      <c r="C207" s="66"/>
      <c r="D207" s="66"/>
      <c r="E207" s="66"/>
      <c r="F207" s="66"/>
      <c r="G207" s="66"/>
      <c r="H207" s="66"/>
      <c r="I207" s="66"/>
      <c r="J207" s="66"/>
      <c r="K207" s="66"/>
      <c r="L207" s="264"/>
      <c r="M207" s="66"/>
      <c r="N207" s="66"/>
      <c r="O207" s="66"/>
      <c r="P207" s="66"/>
      <c r="Q207" s="66"/>
      <c r="R207" s="66"/>
      <c r="S207" s="66"/>
    </row>
    <row r="208" spans="3:19" ht="15.75">
      <c r="C208" s="66"/>
      <c r="D208" s="66"/>
      <c r="E208" s="66"/>
      <c r="F208" s="66"/>
      <c r="G208" s="66"/>
      <c r="H208" s="66"/>
      <c r="I208" s="66"/>
      <c r="J208" s="66"/>
      <c r="K208" s="66"/>
      <c r="L208" s="264"/>
      <c r="M208" s="66"/>
      <c r="N208" s="66"/>
      <c r="O208" s="66"/>
      <c r="P208" s="66"/>
      <c r="Q208" s="66"/>
      <c r="R208" s="66"/>
      <c r="S208" s="66"/>
    </row>
    <row r="209" spans="3:19" ht="15.75">
      <c r="C209" s="66"/>
      <c r="D209" s="66"/>
      <c r="E209" s="66"/>
      <c r="F209" s="66"/>
      <c r="G209" s="66"/>
      <c r="H209" s="66"/>
      <c r="I209" s="66"/>
      <c r="J209" s="66"/>
      <c r="K209" s="66"/>
      <c r="L209" s="264"/>
      <c r="M209" s="66"/>
      <c r="N209" s="66"/>
      <c r="O209" s="66"/>
      <c r="P209" s="66"/>
      <c r="Q209" s="66"/>
      <c r="R209" s="66"/>
      <c r="S209" s="66"/>
    </row>
    <row r="210" spans="3:19" ht="15.75">
      <c r="C210" s="66"/>
      <c r="D210" s="66"/>
      <c r="E210" s="66"/>
      <c r="F210" s="66"/>
      <c r="G210" s="66"/>
      <c r="H210" s="66"/>
      <c r="I210" s="66"/>
      <c r="J210" s="66"/>
      <c r="K210" s="66"/>
      <c r="L210" s="264"/>
      <c r="M210" s="66"/>
      <c r="N210" s="66"/>
      <c r="O210" s="66"/>
      <c r="P210" s="66"/>
      <c r="Q210" s="66"/>
      <c r="R210" s="66"/>
      <c r="S210" s="66"/>
    </row>
    <row r="211" spans="3:19" ht="15.75">
      <c r="C211" s="66"/>
      <c r="D211" s="66"/>
      <c r="E211" s="66"/>
      <c r="F211" s="66"/>
      <c r="G211" s="66"/>
      <c r="H211" s="66"/>
      <c r="I211" s="66"/>
      <c r="J211" s="66"/>
      <c r="K211" s="66"/>
      <c r="L211" s="264"/>
      <c r="M211" s="66"/>
      <c r="N211" s="66"/>
      <c r="O211" s="66"/>
      <c r="P211" s="66"/>
      <c r="Q211" s="66"/>
      <c r="R211" s="66"/>
      <c r="S211" s="66"/>
    </row>
    <row r="212" spans="3:19" ht="15.75">
      <c r="C212" s="66"/>
      <c r="D212" s="66"/>
      <c r="E212" s="66"/>
      <c r="F212" s="66"/>
      <c r="G212" s="66"/>
      <c r="H212" s="66"/>
      <c r="I212" s="66"/>
      <c r="J212" s="66"/>
      <c r="K212" s="66"/>
      <c r="L212" s="264"/>
      <c r="M212" s="66"/>
      <c r="N212" s="66"/>
      <c r="O212" s="66"/>
      <c r="P212" s="66"/>
      <c r="Q212" s="66"/>
      <c r="R212" s="66"/>
      <c r="S212" s="66"/>
    </row>
    <row r="213" spans="3:19" ht="15.75">
      <c r="C213" s="66"/>
      <c r="D213" s="66"/>
      <c r="E213" s="66"/>
      <c r="F213" s="66"/>
      <c r="G213" s="66"/>
      <c r="H213" s="66"/>
      <c r="I213" s="66"/>
      <c r="J213" s="66"/>
      <c r="K213" s="66"/>
      <c r="L213" s="264"/>
      <c r="M213" s="66"/>
      <c r="N213" s="66"/>
      <c r="O213" s="66"/>
      <c r="P213" s="66"/>
      <c r="Q213" s="66"/>
      <c r="R213" s="66"/>
      <c r="S213" s="66"/>
    </row>
    <row r="214" spans="3:19" ht="15.75">
      <c r="C214" s="66"/>
      <c r="D214" s="66"/>
      <c r="E214" s="66"/>
      <c r="F214" s="66"/>
      <c r="G214" s="66"/>
      <c r="H214" s="66"/>
      <c r="I214" s="66"/>
      <c r="J214" s="66"/>
      <c r="K214" s="66"/>
      <c r="L214" s="264"/>
      <c r="M214" s="66"/>
      <c r="N214" s="66"/>
      <c r="O214" s="66"/>
      <c r="P214" s="66"/>
      <c r="Q214" s="66"/>
      <c r="R214" s="66"/>
      <c r="S214" s="66"/>
    </row>
    <row r="215" spans="3:19" ht="15.75">
      <c r="C215" s="66"/>
      <c r="D215" s="66"/>
      <c r="E215" s="66"/>
      <c r="F215" s="66"/>
      <c r="G215" s="66"/>
      <c r="H215" s="66"/>
      <c r="I215" s="66"/>
      <c r="J215" s="66"/>
      <c r="K215" s="66"/>
      <c r="L215" s="264"/>
      <c r="M215" s="66"/>
      <c r="N215" s="66"/>
      <c r="O215" s="66"/>
      <c r="P215" s="66"/>
      <c r="Q215" s="66"/>
      <c r="R215" s="66"/>
      <c r="S215" s="66"/>
    </row>
    <row r="216" spans="3:19" ht="15.75">
      <c r="C216" s="66"/>
      <c r="D216" s="66"/>
      <c r="E216" s="66"/>
      <c r="F216" s="66"/>
      <c r="G216" s="66"/>
      <c r="H216" s="66"/>
      <c r="I216" s="66"/>
      <c r="J216" s="66"/>
      <c r="K216" s="66"/>
      <c r="L216" s="264"/>
      <c r="M216" s="66"/>
      <c r="N216" s="66"/>
      <c r="O216" s="66"/>
      <c r="P216" s="66"/>
      <c r="Q216" s="66"/>
      <c r="R216" s="66"/>
      <c r="S216" s="66"/>
    </row>
    <row r="217" spans="3:19" ht="15.75">
      <c r="C217" s="66"/>
      <c r="D217" s="66"/>
      <c r="E217" s="66"/>
      <c r="F217" s="66"/>
      <c r="G217" s="66"/>
      <c r="H217" s="66"/>
      <c r="I217" s="66"/>
      <c r="J217" s="66"/>
      <c r="K217" s="66"/>
      <c r="L217" s="264"/>
      <c r="M217" s="66"/>
      <c r="N217" s="66"/>
      <c r="O217" s="66"/>
      <c r="P217" s="66"/>
      <c r="Q217" s="66"/>
      <c r="R217" s="66"/>
      <c r="S217" s="66"/>
    </row>
    <row r="218" spans="3:19" ht="15.75">
      <c r="C218" s="66"/>
      <c r="D218" s="66"/>
      <c r="E218" s="66"/>
      <c r="F218" s="66"/>
      <c r="G218" s="66"/>
      <c r="H218" s="66"/>
      <c r="I218" s="66"/>
      <c r="J218" s="66"/>
      <c r="K218" s="66"/>
      <c r="L218" s="264"/>
      <c r="M218" s="66"/>
      <c r="N218" s="66"/>
      <c r="O218" s="66"/>
      <c r="P218" s="66"/>
      <c r="Q218" s="66"/>
      <c r="R218" s="66"/>
      <c r="S218" s="66"/>
    </row>
    <row r="219" spans="3:19" ht="15.75">
      <c r="C219" s="66"/>
      <c r="D219" s="66"/>
      <c r="E219" s="66"/>
      <c r="F219" s="66"/>
      <c r="G219" s="66"/>
      <c r="H219" s="66"/>
      <c r="I219" s="66"/>
      <c r="J219" s="66"/>
      <c r="K219" s="66"/>
      <c r="L219" s="264"/>
      <c r="M219" s="66"/>
      <c r="N219" s="66"/>
      <c r="O219" s="66"/>
      <c r="P219" s="66"/>
      <c r="Q219" s="66"/>
      <c r="R219" s="66"/>
      <c r="S219" s="66"/>
    </row>
    <row r="220" spans="3:19" ht="15.75">
      <c r="C220" s="66"/>
      <c r="D220" s="66"/>
      <c r="E220" s="66"/>
      <c r="F220" s="66"/>
      <c r="G220" s="66"/>
      <c r="H220" s="66"/>
      <c r="I220" s="66"/>
      <c r="J220" s="66"/>
      <c r="K220" s="66"/>
      <c r="L220" s="264"/>
      <c r="M220" s="66"/>
      <c r="N220" s="66"/>
      <c r="O220" s="66"/>
      <c r="P220" s="66"/>
      <c r="Q220" s="66"/>
      <c r="R220" s="66"/>
      <c r="S220" s="66"/>
    </row>
    <row r="221" spans="3:19" ht="15.75">
      <c r="C221" s="66"/>
      <c r="D221" s="66"/>
      <c r="E221" s="66"/>
      <c r="F221" s="66"/>
      <c r="G221" s="66"/>
      <c r="H221" s="66"/>
      <c r="I221" s="66"/>
      <c r="J221" s="66"/>
      <c r="K221" s="66"/>
      <c r="L221" s="264"/>
      <c r="M221" s="66"/>
      <c r="N221" s="66"/>
      <c r="O221" s="66"/>
      <c r="P221" s="66"/>
      <c r="Q221" s="66"/>
      <c r="R221" s="66"/>
      <c r="S221" s="66"/>
    </row>
    <row r="222" spans="3:19" ht="15.75">
      <c r="C222" s="66"/>
      <c r="D222" s="66"/>
      <c r="E222" s="66"/>
      <c r="F222" s="66"/>
      <c r="G222" s="66"/>
      <c r="H222" s="66"/>
      <c r="I222" s="66"/>
      <c r="J222" s="66"/>
      <c r="K222" s="66"/>
      <c r="L222" s="264"/>
      <c r="M222" s="66"/>
      <c r="N222" s="66"/>
      <c r="O222" s="66"/>
      <c r="P222" s="66"/>
      <c r="Q222" s="66"/>
      <c r="R222" s="66"/>
      <c r="S222" s="66"/>
    </row>
    <row r="223" spans="3:19" ht="15.75">
      <c r="C223" s="66"/>
      <c r="D223" s="66"/>
      <c r="E223" s="66"/>
      <c r="F223" s="66"/>
      <c r="G223" s="66"/>
      <c r="H223" s="66"/>
      <c r="I223" s="66"/>
      <c r="J223" s="66"/>
      <c r="K223" s="66"/>
      <c r="L223" s="264"/>
      <c r="M223" s="66"/>
      <c r="N223" s="66"/>
      <c r="O223" s="66"/>
      <c r="P223" s="66"/>
      <c r="Q223" s="66"/>
      <c r="R223" s="66"/>
      <c r="S223" s="66"/>
    </row>
    <row r="224" spans="3:19" ht="15.75">
      <c r="C224" s="66"/>
      <c r="D224" s="66"/>
      <c r="E224" s="66"/>
      <c r="F224" s="66"/>
      <c r="G224" s="66"/>
      <c r="H224" s="66"/>
      <c r="I224" s="66"/>
      <c r="J224" s="66"/>
      <c r="K224" s="66"/>
      <c r="L224" s="264"/>
      <c r="M224" s="66"/>
      <c r="N224" s="66"/>
      <c r="O224" s="66"/>
      <c r="P224" s="66"/>
      <c r="Q224" s="66"/>
      <c r="R224" s="66"/>
      <c r="S224" s="66"/>
    </row>
    <row r="225" spans="3:19" ht="15.75">
      <c r="C225" s="66"/>
      <c r="D225" s="66"/>
      <c r="E225" s="66"/>
      <c r="F225" s="66"/>
      <c r="G225" s="66"/>
      <c r="H225" s="66"/>
      <c r="I225" s="66"/>
      <c r="J225" s="66"/>
      <c r="K225" s="66"/>
      <c r="L225" s="264"/>
      <c r="M225" s="66"/>
      <c r="N225" s="66"/>
      <c r="O225" s="66"/>
      <c r="P225" s="66"/>
      <c r="Q225" s="66"/>
      <c r="R225" s="66"/>
      <c r="S225" s="66"/>
    </row>
    <row r="226" spans="3:19" ht="15.75">
      <c r="C226" s="66"/>
      <c r="D226" s="66"/>
      <c r="E226" s="66"/>
      <c r="F226" s="66"/>
      <c r="G226" s="66"/>
      <c r="H226" s="66"/>
      <c r="I226" s="66"/>
      <c r="J226" s="66"/>
      <c r="K226" s="66"/>
      <c r="L226" s="264"/>
      <c r="M226" s="66"/>
      <c r="N226" s="66"/>
      <c r="O226" s="66"/>
      <c r="P226" s="66"/>
      <c r="Q226" s="66"/>
      <c r="R226" s="66"/>
      <c r="S226" s="66"/>
    </row>
    <row r="227" spans="3:19" ht="15.75">
      <c r="C227" s="66"/>
      <c r="D227" s="66"/>
      <c r="E227" s="66"/>
      <c r="F227" s="66"/>
      <c r="G227" s="66"/>
      <c r="H227" s="66"/>
      <c r="I227" s="66"/>
      <c r="J227" s="66"/>
      <c r="K227" s="66"/>
      <c r="L227" s="264"/>
      <c r="M227" s="66"/>
      <c r="N227" s="66"/>
      <c r="O227" s="66"/>
      <c r="P227" s="66"/>
      <c r="Q227" s="66"/>
      <c r="R227" s="66"/>
      <c r="S227" s="66"/>
    </row>
    <row r="228" spans="3:19" ht="15.75">
      <c r="C228" s="66"/>
      <c r="D228" s="66"/>
      <c r="E228" s="66"/>
      <c r="F228" s="66"/>
      <c r="G228" s="66"/>
      <c r="H228" s="66"/>
      <c r="I228" s="66"/>
      <c r="J228" s="66"/>
      <c r="K228" s="66"/>
      <c r="L228" s="264"/>
      <c r="M228" s="66"/>
      <c r="N228" s="66"/>
      <c r="O228" s="66"/>
      <c r="P228" s="66"/>
      <c r="Q228" s="66"/>
      <c r="R228" s="66"/>
      <c r="S228" s="66"/>
    </row>
    <row r="229" spans="3:19" ht="15.75">
      <c r="C229" s="66"/>
      <c r="D229" s="66"/>
      <c r="E229" s="66"/>
      <c r="F229" s="66"/>
      <c r="G229" s="66"/>
      <c r="H229" s="66"/>
      <c r="I229" s="66"/>
      <c r="J229" s="66"/>
      <c r="K229" s="66"/>
      <c r="L229" s="264"/>
      <c r="M229" s="66"/>
      <c r="N229" s="66"/>
      <c r="O229" s="66"/>
      <c r="P229" s="66"/>
      <c r="Q229" s="66"/>
      <c r="R229" s="66"/>
      <c r="S229" s="66"/>
    </row>
    <row r="230" spans="3:19" ht="15.75">
      <c r="C230" s="66"/>
      <c r="D230" s="66"/>
      <c r="E230" s="66"/>
      <c r="F230" s="66"/>
      <c r="G230" s="66"/>
      <c r="H230" s="66"/>
      <c r="I230" s="66"/>
      <c r="J230" s="66"/>
      <c r="K230" s="66"/>
      <c r="L230" s="264"/>
      <c r="M230" s="66"/>
      <c r="N230" s="66"/>
      <c r="O230" s="66"/>
      <c r="P230" s="66"/>
      <c r="Q230" s="66"/>
      <c r="R230" s="66"/>
      <c r="S230" s="66"/>
    </row>
    <row r="231" spans="3:19" ht="15.75">
      <c r="C231" s="66"/>
      <c r="D231" s="66"/>
      <c r="E231" s="66"/>
      <c r="F231" s="66"/>
      <c r="G231" s="66"/>
      <c r="H231" s="66"/>
      <c r="I231" s="66"/>
      <c r="J231" s="66"/>
      <c r="K231" s="66"/>
      <c r="L231" s="264"/>
      <c r="M231" s="66"/>
      <c r="N231" s="66"/>
      <c r="O231" s="66"/>
      <c r="P231" s="66"/>
      <c r="Q231" s="66"/>
      <c r="R231" s="66"/>
      <c r="S231" s="66"/>
    </row>
    <row r="232" spans="3:19" ht="15.75">
      <c r="C232" s="66"/>
      <c r="D232" s="66"/>
      <c r="E232" s="66"/>
      <c r="F232" s="66"/>
      <c r="G232" s="66"/>
      <c r="H232" s="66"/>
      <c r="I232" s="66"/>
      <c r="J232" s="66"/>
      <c r="K232" s="66"/>
      <c r="L232" s="264"/>
      <c r="M232" s="66"/>
      <c r="N232" s="66"/>
      <c r="O232" s="66"/>
      <c r="P232" s="66"/>
      <c r="Q232" s="66"/>
      <c r="R232" s="66"/>
      <c r="S232" s="66"/>
    </row>
    <row r="233" spans="3:19" ht="15.75">
      <c r="C233" s="66"/>
      <c r="D233" s="66"/>
      <c r="E233" s="66"/>
      <c r="F233" s="66"/>
      <c r="G233" s="66"/>
      <c r="H233" s="66"/>
      <c r="I233" s="66"/>
      <c r="J233" s="66"/>
      <c r="K233" s="66"/>
      <c r="L233" s="264"/>
      <c r="M233" s="66"/>
      <c r="N233" s="66"/>
      <c r="O233" s="66"/>
      <c r="P233" s="66"/>
      <c r="Q233" s="66"/>
      <c r="R233" s="66"/>
      <c r="S233" s="66"/>
    </row>
    <row r="234" spans="3:19" ht="15.75">
      <c r="C234" s="66"/>
      <c r="D234" s="66"/>
      <c r="E234" s="66"/>
      <c r="F234" s="66"/>
      <c r="G234" s="66"/>
      <c r="H234" s="66"/>
      <c r="I234" s="66"/>
      <c r="J234" s="66"/>
      <c r="K234" s="66"/>
      <c r="L234" s="264"/>
      <c r="M234" s="66"/>
      <c r="N234" s="66"/>
      <c r="O234" s="66"/>
      <c r="P234" s="66"/>
      <c r="Q234" s="66"/>
      <c r="R234" s="66"/>
      <c r="S234" s="66"/>
    </row>
    <row r="235" spans="3:19" ht="15.75">
      <c r="C235" s="66"/>
      <c r="D235" s="66"/>
      <c r="E235" s="66"/>
      <c r="F235" s="66"/>
      <c r="G235" s="66"/>
      <c r="H235" s="66"/>
      <c r="I235" s="66"/>
      <c r="J235" s="66"/>
      <c r="K235" s="66"/>
      <c r="L235" s="264"/>
      <c r="M235" s="66"/>
      <c r="N235" s="66"/>
      <c r="O235" s="66"/>
      <c r="P235" s="66"/>
      <c r="Q235" s="66"/>
      <c r="R235" s="66"/>
      <c r="S235" s="66"/>
    </row>
    <row r="236" spans="3:19" ht="15.75">
      <c r="C236" s="66"/>
      <c r="D236" s="66"/>
      <c r="E236" s="66"/>
      <c r="F236" s="66"/>
      <c r="G236" s="66"/>
      <c r="H236" s="66"/>
      <c r="I236" s="66"/>
      <c r="J236" s="66"/>
      <c r="K236" s="66"/>
      <c r="L236" s="264"/>
      <c r="M236" s="66"/>
      <c r="N236" s="66"/>
      <c r="O236" s="66"/>
      <c r="P236" s="66"/>
      <c r="Q236" s="66"/>
      <c r="R236" s="66"/>
      <c r="S236" s="66"/>
    </row>
    <row r="237" spans="3:19" ht="15.75">
      <c r="C237" s="66"/>
      <c r="D237" s="66"/>
      <c r="E237" s="66"/>
      <c r="F237" s="66"/>
      <c r="G237" s="66"/>
      <c r="H237" s="66"/>
      <c r="I237" s="66"/>
      <c r="J237" s="66"/>
      <c r="K237" s="66"/>
      <c r="L237" s="264"/>
      <c r="M237" s="66"/>
      <c r="N237" s="66"/>
      <c r="O237" s="66"/>
      <c r="P237" s="66"/>
      <c r="Q237" s="66"/>
      <c r="R237" s="66"/>
      <c r="S237" s="66"/>
    </row>
    <row r="238" spans="3:19" ht="15.75">
      <c r="C238" s="66"/>
      <c r="D238" s="66"/>
      <c r="E238" s="66"/>
      <c r="F238" s="66"/>
      <c r="G238" s="66"/>
      <c r="H238" s="66"/>
      <c r="I238" s="66"/>
      <c r="J238" s="66"/>
      <c r="K238" s="66"/>
      <c r="L238" s="264"/>
      <c r="M238" s="66"/>
      <c r="N238" s="66"/>
      <c r="O238" s="66"/>
      <c r="P238" s="66"/>
      <c r="Q238" s="66"/>
      <c r="R238" s="66"/>
      <c r="S238" s="66"/>
    </row>
    <row r="239" spans="3:19" ht="15.75">
      <c r="C239" s="66"/>
      <c r="D239" s="66"/>
      <c r="E239" s="66"/>
      <c r="F239" s="66"/>
      <c r="G239" s="66"/>
      <c r="H239" s="66"/>
      <c r="I239" s="66"/>
      <c r="J239" s="66"/>
      <c r="K239" s="66"/>
      <c r="L239" s="264"/>
      <c r="M239" s="66"/>
      <c r="N239" s="66"/>
      <c r="O239" s="66"/>
      <c r="P239" s="66"/>
      <c r="Q239" s="66"/>
      <c r="R239" s="66"/>
      <c r="S239" s="66"/>
    </row>
    <row r="240" spans="3:19" ht="15.75">
      <c r="C240" s="66"/>
      <c r="D240" s="66"/>
      <c r="E240" s="66"/>
      <c r="F240" s="66"/>
      <c r="G240" s="66"/>
      <c r="H240" s="66"/>
      <c r="I240" s="66"/>
      <c r="J240" s="66"/>
      <c r="K240" s="66"/>
      <c r="L240" s="264"/>
      <c r="M240" s="66"/>
      <c r="N240" s="66"/>
      <c r="O240" s="66"/>
      <c r="P240" s="66"/>
      <c r="Q240" s="66"/>
      <c r="R240" s="66"/>
      <c r="S240" s="66"/>
    </row>
    <row r="241" spans="3:19" ht="15.75">
      <c r="C241" s="66"/>
      <c r="D241" s="66"/>
      <c r="E241" s="66"/>
      <c r="F241" s="66"/>
      <c r="G241" s="66"/>
      <c r="H241" s="66"/>
      <c r="I241" s="66"/>
      <c r="J241" s="66"/>
      <c r="K241" s="66"/>
      <c r="L241" s="264"/>
      <c r="M241" s="66"/>
      <c r="N241" s="66"/>
      <c r="O241" s="66"/>
      <c r="P241" s="66"/>
      <c r="Q241" s="66"/>
      <c r="R241" s="66"/>
      <c r="S241" s="66"/>
    </row>
    <row r="242" spans="3:19" ht="15.75">
      <c r="C242" s="66"/>
      <c r="D242" s="66"/>
      <c r="E242" s="66"/>
      <c r="F242" s="66"/>
      <c r="G242" s="66"/>
      <c r="H242" s="66"/>
      <c r="I242" s="66"/>
      <c r="J242" s="66"/>
      <c r="K242" s="66"/>
      <c r="L242" s="264"/>
      <c r="M242" s="66"/>
      <c r="N242" s="66"/>
      <c r="O242" s="66"/>
      <c r="P242" s="66"/>
      <c r="Q242" s="66"/>
      <c r="R242" s="66"/>
      <c r="S242" s="66"/>
    </row>
    <row r="243" spans="3:19" ht="15.75">
      <c r="C243" s="66"/>
      <c r="D243" s="66"/>
      <c r="E243" s="66"/>
      <c r="F243" s="66"/>
      <c r="G243" s="66"/>
      <c r="H243" s="66"/>
      <c r="I243" s="66"/>
      <c r="J243" s="66"/>
      <c r="K243" s="66"/>
      <c r="L243" s="264"/>
      <c r="M243" s="66"/>
      <c r="N243" s="66"/>
      <c r="O243" s="66"/>
      <c r="P243" s="66"/>
      <c r="Q243" s="66"/>
      <c r="R243" s="66"/>
      <c r="S243" s="66"/>
    </row>
    <row r="244" spans="3:19" ht="15.75">
      <c r="C244" s="66"/>
      <c r="D244" s="66"/>
      <c r="E244" s="66"/>
      <c r="F244" s="66"/>
      <c r="G244" s="66"/>
      <c r="H244" s="66"/>
      <c r="I244" s="66"/>
      <c r="J244" s="66"/>
      <c r="K244" s="66"/>
      <c r="L244" s="264"/>
      <c r="M244" s="66"/>
      <c r="N244" s="66"/>
      <c r="O244" s="66"/>
      <c r="P244" s="66"/>
      <c r="Q244" s="66"/>
      <c r="R244" s="66"/>
      <c r="S244" s="66"/>
    </row>
    <row r="245" spans="3:19" ht="15.75">
      <c r="C245" s="66"/>
      <c r="D245" s="66"/>
      <c r="E245" s="66"/>
      <c r="F245" s="66"/>
      <c r="G245" s="66"/>
      <c r="H245" s="66"/>
      <c r="I245" s="66"/>
      <c r="J245" s="66"/>
      <c r="K245" s="66"/>
      <c r="L245" s="264"/>
      <c r="M245" s="66"/>
      <c r="N245" s="66"/>
      <c r="O245" s="66"/>
      <c r="P245" s="66"/>
      <c r="Q245" s="66"/>
      <c r="R245" s="66"/>
      <c r="S245" s="66"/>
    </row>
    <row r="246" spans="3:19" ht="15.75">
      <c r="C246" s="66"/>
      <c r="D246" s="66"/>
      <c r="E246" s="66"/>
      <c r="F246" s="66"/>
      <c r="G246" s="66"/>
      <c r="H246" s="66"/>
      <c r="I246" s="66"/>
      <c r="J246" s="66"/>
      <c r="K246" s="66"/>
      <c r="L246" s="264"/>
      <c r="M246" s="66"/>
      <c r="N246" s="66"/>
      <c r="O246" s="66"/>
      <c r="P246" s="66"/>
      <c r="Q246" s="66"/>
      <c r="R246" s="66"/>
      <c r="S246" s="66"/>
    </row>
    <row r="247" spans="3:19" ht="15.75">
      <c r="C247" s="66"/>
      <c r="D247" s="66"/>
      <c r="E247" s="66"/>
      <c r="F247" s="66"/>
      <c r="G247" s="66"/>
      <c r="H247" s="66"/>
      <c r="I247" s="66"/>
      <c r="J247" s="66"/>
      <c r="K247" s="66"/>
      <c r="L247" s="264"/>
      <c r="M247" s="66"/>
      <c r="N247" s="66"/>
      <c r="O247" s="66"/>
      <c r="P247" s="66"/>
      <c r="Q247" s="66"/>
      <c r="R247" s="66"/>
      <c r="S247" s="66"/>
    </row>
    <row r="248" spans="3:19" ht="15.75">
      <c r="C248" s="66"/>
      <c r="D248" s="66"/>
      <c r="E248" s="66"/>
      <c r="F248" s="66"/>
      <c r="G248" s="66"/>
      <c r="H248" s="66"/>
      <c r="I248" s="66"/>
      <c r="J248" s="66"/>
      <c r="K248" s="66"/>
      <c r="L248" s="264"/>
      <c r="M248" s="66"/>
      <c r="N248" s="66"/>
      <c r="O248" s="66"/>
      <c r="P248" s="66"/>
      <c r="Q248" s="66"/>
      <c r="R248" s="66"/>
      <c r="S248" s="66"/>
    </row>
    <row r="249" spans="3:19" ht="15.75">
      <c r="C249" s="66"/>
      <c r="D249" s="66"/>
      <c r="E249" s="66"/>
      <c r="F249" s="66"/>
      <c r="G249" s="66"/>
      <c r="H249" s="66"/>
      <c r="I249" s="66"/>
      <c r="J249" s="66"/>
      <c r="K249" s="66"/>
      <c r="L249" s="264"/>
      <c r="M249" s="66"/>
      <c r="N249" s="66"/>
      <c r="O249" s="66"/>
      <c r="P249" s="66"/>
      <c r="Q249" s="66"/>
      <c r="R249" s="66"/>
      <c r="S249" s="66"/>
    </row>
    <row r="250" spans="3:19" ht="15.75">
      <c r="C250" s="66"/>
      <c r="D250" s="66"/>
      <c r="E250" s="66"/>
      <c r="F250" s="66"/>
      <c r="G250" s="66"/>
      <c r="H250" s="66"/>
      <c r="I250" s="66"/>
      <c r="J250" s="66"/>
      <c r="K250" s="66"/>
      <c r="L250" s="264"/>
      <c r="M250" s="66"/>
      <c r="N250" s="66"/>
      <c r="O250" s="66"/>
      <c r="P250" s="66"/>
      <c r="Q250" s="66"/>
      <c r="R250" s="66"/>
      <c r="S250" s="66"/>
    </row>
    <row r="251" spans="3:19" ht="15.75">
      <c r="C251" s="66"/>
      <c r="D251" s="66"/>
      <c r="E251" s="66"/>
      <c r="F251" s="66"/>
      <c r="G251" s="66"/>
      <c r="H251" s="66"/>
      <c r="I251" s="66"/>
      <c r="J251" s="66"/>
      <c r="K251" s="66"/>
      <c r="L251" s="264"/>
      <c r="M251" s="66"/>
      <c r="N251" s="66"/>
      <c r="O251" s="66"/>
      <c r="P251" s="66"/>
      <c r="Q251" s="66"/>
      <c r="R251" s="66"/>
      <c r="S251" s="66"/>
    </row>
    <row r="252" spans="3:19" ht="15.75">
      <c r="C252" s="66"/>
      <c r="D252" s="66"/>
      <c r="E252" s="66"/>
      <c r="F252" s="66"/>
      <c r="G252" s="66"/>
      <c r="H252" s="66"/>
      <c r="I252" s="66"/>
      <c r="J252" s="66"/>
      <c r="K252" s="66"/>
      <c r="L252" s="264"/>
      <c r="M252" s="66"/>
      <c r="N252" s="66"/>
      <c r="O252" s="66"/>
      <c r="P252" s="66"/>
      <c r="Q252" s="66"/>
      <c r="R252" s="66"/>
      <c r="S252" s="66"/>
    </row>
    <row r="253" spans="3:19" ht="15.75">
      <c r="C253" s="66"/>
      <c r="D253" s="66"/>
      <c r="E253" s="66"/>
      <c r="F253" s="66"/>
      <c r="G253" s="66"/>
      <c r="H253" s="66"/>
      <c r="I253" s="66"/>
      <c r="J253" s="66"/>
      <c r="K253" s="66"/>
      <c r="L253" s="264"/>
      <c r="M253" s="66"/>
      <c r="N253" s="66"/>
      <c r="O253" s="66"/>
      <c r="P253" s="66"/>
      <c r="Q253" s="66"/>
      <c r="R253" s="66"/>
      <c r="S253" s="66"/>
    </row>
    <row r="254" spans="3:19" ht="15.75">
      <c r="C254" s="66"/>
      <c r="D254" s="66"/>
      <c r="E254" s="66"/>
      <c r="F254" s="66"/>
      <c r="G254" s="66"/>
      <c r="H254" s="66"/>
      <c r="I254" s="66"/>
      <c r="J254" s="66"/>
      <c r="K254" s="66"/>
      <c r="L254" s="264"/>
      <c r="M254" s="66"/>
      <c r="N254" s="66"/>
      <c r="O254" s="66"/>
      <c r="P254" s="66"/>
      <c r="Q254" s="66"/>
      <c r="R254" s="66"/>
      <c r="S254" s="66"/>
    </row>
    <row r="255" spans="3:19" ht="15.75">
      <c r="C255" s="66"/>
      <c r="D255" s="66"/>
      <c r="E255" s="66"/>
      <c r="F255" s="66"/>
      <c r="G255" s="66"/>
      <c r="H255" s="66"/>
      <c r="I255" s="66"/>
      <c r="J255" s="66"/>
      <c r="K255" s="66"/>
      <c r="L255" s="264"/>
      <c r="M255" s="66"/>
      <c r="N255" s="66"/>
      <c r="O255" s="66"/>
      <c r="P255" s="66"/>
      <c r="Q255" s="66"/>
      <c r="R255" s="66"/>
      <c r="S255" s="66"/>
    </row>
    <row r="256" spans="3:19" ht="15.75">
      <c r="C256" s="66"/>
      <c r="D256" s="66"/>
      <c r="E256" s="66"/>
      <c r="F256" s="66"/>
      <c r="G256" s="66"/>
      <c r="H256" s="66"/>
      <c r="I256" s="66"/>
      <c r="J256" s="66"/>
      <c r="K256" s="66"/>
      <c r="L256" s="264"/>
      <c r="M256" s="66"/>
      <c r="N256" s="66"/>
      <c r="O256" s="66"/>
      <c r="P256" s="66"/>
      <c r="Q256" s="66"/>
      <c r="R256" s="66"/>
      <c r="S256" s="66"/>
    </row>
    <row r="257" spans="3:19" ht="15.75">
      <c r="C257" s="66"/>
      <c r="D257" s="66"/>
      <c r="E257" s="66"/>
      <c r="F257" s="66"/>
      <c r="G257" s="66"/>
      <c r="H257" s="66"/>
      <c r="I257" s="66"/>
      <c r="J257" s="66"/>
      <c r="K257" s="66"/>
      <c r="L257" s="264"/>
      <c r="M257" s="66"/>
      <c r="N257" s="66"/>
      <c r="O257" s="66"/>
      <c r="P257" s="66"/>
      <c r="Q257" s="66"/>
      <c r="R257" s="66"/>
      <c r="S257" s="66"/>
    </row>
    <row r="258" spans="3:19" ht="15.75">
      <c r="C258" s="66"/>
      <c r="D258" s="66"/>
      <c r="E258" s="66"/>
      <c r="F258" s="66"/>
      <c r="G258" s="66"/>
      <c r="H258" s="66"/>
      <c r="I258" s="66"/>
      <c r="J258" s="66"/>
      <c r="K258" s="66"/>
      <c r="L258" s="264"/>
      <c r="M258" s="66"/>
      <c r="N258" s="66"/>
      <c r="O258" s="66"/>
      <c r="P258" s="66"/>
      <c r="Q258" s="66"/>
      <c r="R258" s="66"/>
      <c r="S258" s="66"/>
    </row>
    <row r="259" spans="3:19" ht="15.75">
      <c r="C259" s="66"/>
      <c r="D259" s="66"/>
      <c r="E259" s="66"/>
      <c r="F259" s="66"/>
      <c r="G259" s="66"/>
      <c r="H259" s="66"/>
      <c r="I259" s="66"/>
      <c r="J259" s="66"/>
      <c r="K259" s="66"/>
      <c r="L259" s="264"/>
      <c r="M259" s="66"/>
      <c r="N259" s="66"/>
      <c r="O259" s="66"/>
      <c r="P259" s="66"/>
      <c r="Q259" s="66"/>
      <c r="R259" s="66"/>
      <c r="S259" s="66"/>
    </row>
    <row r="260" spans="3:19" ht="15.75">
      <c r="C260" s="66"/>
      <c r="D260" s="66"/>
      <c r="E260" s="66"/>
      <c r="F260" s="66"/>
      <c r="G260" s="66"/>
      <c r="H260" s="66"/>
      <c r="I260" s="66"/>
      <c r="J260" s="66"/>
      <c r="K260" s="66"/>
      <c r="L260" s="264"/>
      <c r="M260" s="66"/>
      <c r="N260" s="66"/>
      <c r="O260" s="66"/>
      <c r="P260" s="66"/>
      <c r="Q260" s="66"/>
      <c r="R260" s="66"/>
      <c r="S260" s="66"/>
    </row>
    <row r="261" spans="3:19" ht="15.75">
      <c r="C261" s="66"/>
      <c r="D261" s="66"/>
      <c r="E261" s="66"/>
      <c r="F261" s="66"/>
      <c r="G261" s="66"/>
      <c r="H261" s="66"/>
      <c r="I261" s="66"/>
      <c r="J261" s="66"/>
      <c r="K261" s="66"/>
      <c r="L261" s="264"/>
      <c r="M261" s="66"/>
      <c r="N261" s="66"/>
      <c r="O261" s="66"/>
      <c r="P261" s="66"/>
      <c r="Q261" s="66"/>
      <c r="R261" s="66"/>
      <c r="S261" s="66"/>
    </row>
    <row r="262" spans="3:19" ht="15.75">
      <c r="C262" s="66"/>
      <c r="D262" s="66"/>
      <c r="E262" s="66"/>
      <c r="F262" s="66"/>
      <c r="G262" s="66"/>
      <c r="H262" s="66"/>
      <c r="I262" s="66"/>
      <c r="J262" s="66"/>
      <c r="K262" s="66"/>
      <c r="L262" s="264"/>
      <c r="M262" s="66"/>
      <c r="N262" s="66"/>
      <c r="O262" s="66"/>
      <c r="P262" s="66"/>
      <c r="Q262" s="66"/>
      <c r="R262" s="66"/>
      <c r="S262" s="66"/>
    </row>
    <row r="263" spans="3:19" ht="15.75">
      <c r="C263" s="66"/>
      <c r="D263" s="66"/>
      <c r="E263" s="66"/>
      <c r="F263" s="66"/>
      <c r="G263" s="66"/>
      <c r="H263" s="66"/>
      <c r="I263" s="66"/>
      <c r="J263" s="66"/>
      <c r="K263" s="66"/>
      <c r="L263" s="264"/>
      <c r="M263" s="66"/>
      <c r="N263" s="66"/>
      <c r="O263" s="66"/>
      <c r="P263" s="66"/>
      <c r="Q263" s="66"/>
      <c r="R263" s="66"/>
      <c r="S263" s="66"/>
    </row>
    <row r="264" spans="3:19" ht="15.75">
      <c r="C264" s="66"/>
      <c r="D264" s="66"/>
      <c r="E264" s="66"/>
      <c r="F264" s="66"/>
      <c r="G264" s="66"/>
      <c r="H264" s="66"/>
      <c r="I264" s="66"/>
      <c r="J264" s="66"/>
      <c r="K264" s="66"/>
      <c r="L264" s="264"/>
      <c r="M264" s="66"/>
      <c r="N264" s="66"/>
      <c r="O264" s="66"/>
      <c r="P264" s="66"/>
      <c r="Q264" s="66"/>
      <c r="R264" s="66"/>
      <c r="S264" s="66"/>
    </row>
    <row r="265" spans="3:19" ht="15.75">
      <c r="C265" s="66"/>
      <c r="D265" s="66"/>
      <c r="E265" s="66"/>
      <c r="F265" s="66"/>
      <c r="G265" s="66"/>
      <c r="H265" s="66"/>
      <c r="I265" s="66"/>
      <c r="J265" s="66"/>
      <c r="K265" s="66"/>
      <c r="L265" s="264"/>
      <c r="M265" s="66"/>
      <c r="N265" s="66"/>
      <c r="O265" s="66"/>
      <c r="P265" s="66"/>
      <c r="Q265" s="66"/>
      <c r="R265" s="66"/>
      <c r="S265" s="66"/>
    </row>
    <row r="266" spans="3:19" ht="15.75">
      <c r="C266" s="66"/>
      <c r="D266" s="66"/>
      <c r="E266" s="66"/>
      <c r="F266" s="66"/>
      <c r="G266" s="66"/>
      <c r="H266" s="66"/>
      <c r="I266" s="66"/>
      <c r="J266" s="66"/>
      <c r="K266" s="66"/>
      <c r="L266" s="264"/>
      <c r="M266" s="66"/>
      <c r="N266" s="66"/>
      <c r="O266" s="66"/>
      <c r="P266" s="66"/>
      <c r="Q266" s="66"/>
      <c r="R266" s="66"/>
      <c r="S266" s="66"/>
    </row>
    <row r="267" spans="3:19" ht="15.75">
      <c r="C267" s="66"/>
      <c r="D267" s="66"/>
      <c r="E267" s="66"/>
      <c r="F267" s="66"/>
      <c r="G267" s="66"/>
      <c r="H267" s="66"/>
      <c r="I267" s="66"/>
      <c r="J267" s="66"/>
      <c r="K267" s="66"/>
      <c r="L267" s="264"/>
      <c r="M267" s="66"/>
      <c r="N267" s="66"/>
      <c r="O267" s="66"/>
      <c r="P267" s="66"/>
      <c r="Q267" s="66"/>
      <c r="R267" s="66"/>
      <c r="S267" s="66"/>
    </row>
    <row r="268" spans="3:19" ht="15.75">
      <c r="C268" s="66"/>
      <c r="D268" s="66"/>
      <c r="E268" s="66"/>
      <c r="F268" s="66"/>
      <c r="G268" s="66"/>
      <c r="H268" s="66"/>
      <c r="I268" s="66"/>
      <c r="J268" s="66"/>
      <c r="K268" s="66"/>
      <c r="L268" s="264"/>
      <c r="M268" s="66"/>
      <c r="N268" s="66"/>
      <c r="O268" s="66"/>
      <c r="P268" s="66"/>
      <c r="Q268" s="66"/>
      <c r="R268" s="66"/>
      <c r="S268" s="66"/>
    </row>
    <row r="269" spans="3:19" ht="15.75">
      <c r="C269" s="66"/>
      <c r="D269" s="66"/>
      <c r="E269" s="66"/>
      <c r="F269" s="66"/>
      <c r="G269" s="66"/>
      <c r="H269" s="66"/>
      <c r="I269" s="66"/>
      <c r="J269" s="66"/>
      <c r="K269" s="66"/>
      <c r="L269" s="264"/>
      <c r="M269" s="66"/>
      <c r="N269" s="66"/>
      <c r="O269" s="66"/>
      <c r="P269" s="66"/>
      <c r="Q269" s="66"/>
      <c r="R269" s="66"/>
      <c r="S269" s="66"/>
    </row>
    <row r="270" spans="3:19" ht="15.75">
      <c r="C270" s="66"/>
      <c r="D270" s="66"/>
      <c r="E270" s="66"/>
      <c r="F270" s="66"/>
      <c r="G270" s="66"/>
      <c r="H270" s="66"/>
      <c r="I270" s="66"/>
      <c r="J270" s="66"/>
      <c r="K270" s="66"/>
      <c r="L270" s="264"/>
      <c r="M270" s="66"/>
      <c r="N270" s="66"/>
      <c r="O270" s="66"/>
      <c r="P270" s="66"/>
      <c r="Q270" s="66"/>
      <c r="R270" s="66"/>
      <c r="S270" s="66"/>
    </row>
    <row r="271" spans="3:19" ht="15.75">
      <c r="C271" s="66"/>
      <c r="D271" s="66"/>
      <c r="E271" s="66"/>
      <c r="F271" s="66"/>
      <c r="G271" s="66"/>
      <c r="H271" s="66"/>
      <c r="I271" s="66"/>
      <c r="J271" s="66"/>
      <c r="K271" s="66"/>
      <c r="L271" s="264"/>
      <c r="M271" s="66"/>
      <c r="N271" s="66"/>
      <c r="O271" s="66"/>
      <c r="P271" s="66"/>
      <c r="Q271" s="66"/>
      <c r="R271" s="66"/>
      <c r="S271" s="66"/>
    </row>
    <row r="272" spans="3:19" ht="15.75">
      <c r="C272" s="66"/>
      <c r="D272" s="66"/>
      <c r="E272" s="66"/>
      <c r="F272" s="66"/>
      <c r="G272" s="66"/>
      <c r="H272" s="66"/>
      <c r="I272" s="66"/>
      <c r="J272" s="66"/>
      <c r="K272" s="66"/>
      <c r="L272" s="264"/>
      <c r="M272" s="66"/>
      <c r="N272" s="66"/>
      <c r="O272" s="66"/>
      <c r="P272" s="66"/>
      <c r="Q272" s="66"/>
      <c r="R272" s="66"/>
      <c r="S272" s="66"/>
    </row>
    <row r="273" spans="3:19" ht="15.75">
      <c r="C273" s="66"/>
      <c r="D273" s="66"/>
      <c r="E273" s="66"/>
      <c r="F273" s="66"/>
      <c r="G273" s="66"/>
      <c r="H273" s="66"/>
      <c r="I273" s="66"/>
      <c r="J273" s="66"/>
      <c r="K273" s="66"/>
      <c r="L273" s="264"/>
      <c r="M273" s="66"/>
      <c r="N273" s="66"/>
      <c r="O273" s="66"/>
      <c r="P273" s="66"/>
      <c r="Q273" s="66"/>
      <c r="R273" s="66"/>
      <c r="S273" s="66"/>
    </row>
    <row r="274" spans="3:19" ht="15.75">
      <c r="C274" s="66"/>
      <c r="D274" s="66"/>
      <c r="E274" s="66"/>
      <c r="F274" s="66"/>
      <c r="G274" s="66"/>
      <c r="H274" s="66"/>
      <c r="I274" s="66"/>
      <c r="J274" s="66"/>
      <c r="K274" s="66"/>
      <c r="L274" s="264"/>
      <c r="M274" s="66"/>
      <c r="N274" s="66"/>
      <c r="O274" s="66"/>
      <c r="P274" s="66"/>
      <c r="Q274" s="66"/>
      <c r="R274" s="66"/>
      <c r="S274" s="66"/>
    </row>
    <row r="275" spans="3:19" ht="15.75">
      <c r="C275" s="66"/>
      <c r="D275" s="66"/>
      <c r="E275" s="66"/>
      <c r="F275" s="66"/>
      <c r="G275" s="66"/>
      <c r="H275" s="66"/>
      <c r="I275" s="66"/>
      <c r="J275" s="66"/>
      <c r="K275" s="66"/>
      <c r="L275" s="264"/>
      <c r="M275" s="66"/>
      <c r="N275" s="66"/>
      <c r="O275" s="66"/>
      <c r="P275" s="66"/>
      <c r="Q275" s="66"/>
      <c r="R275" s="66"/>
      <c r="S275" s="66"/>
    </row>
    <row r="276" spans="3:19" ht="15.75">
      <c r="C276" s="66"/>
      <c r="D276" s="66"/>
      <c r="E276" s="66"/>
      <c r="F276" s="66"/>
      <c r="G276" s="66"/>
      <c r="H276" s="66"/>
      <c r="I276" s="66"/>
      <c r="J276" s="66"/>
      <c r="K276" s="66"/>
      <c r="L276" s="264"/>
      <c r="M276" s="66"/>
      <c r="N276" s="66"/>
      <c r="O276" s="66"/>
      <c r="P276" s="66"/>
      <c r="Q276" s="66"/>
      <c r="R276" s="66"/>
      <c r="S276" s="66"/>
    </row>
    <row r="277" spans="3:19" ht="15.75">
      <c r="C277" s="66"/>
      <c r="D277" s="66"/>
      <c r="E277" s="66"/>
      <c r="F277" s="66"/>
      <c r="G277" s="66"/>
      <c r="H277" s="66"/>
      <c r="I277" s="66"/>
      <c r="J277" s="66"/>
      <c r="K277" s="66"/>
      <c r="L277" s="264"/>
      <c r="M277" s="66"/>
      <c r="N277" s="66"/>
      <c r="O277" s="66"/>
      <c r="P277" s="66"/>
      <c r="Q277" s="66"/>
      <c r="R277" s="66"/>
      <c r="S277" s="66"/>
    </row>
    <row r="278" spans="3:19" ht="15.75">
      <c r="C278" s="66"/>
      <c r="D278" s="66"/>
      <c r="E278" s="66"/>
      <c r="F278" s="66"/>
      <c r="G278" s="66"/>
      <c r="H278" s="66"/>
      <c r="I278" s="66"/>
      <c r="J278" s="66"/>
      <c r="K278" s="66"/>
      <c r="L278" s="264"/>
      <c r="M278" s="66"/>
      <c r="N278" s="66"/>
      <c r="O278" s="66"/>
      <c r="P278" s="66"/>
      <c r="Q278" s="66"/>
      <c r="R278" s="66"/>
      <c r="S278" s="66"/>
    </row>
    <row r="279" spans="3:19" ht="15.75">
      <c r="C279" s="66"/>
      <c r="D279" s="66"/>
      <c r="E279" s="66"/>
      <c r="F279" s="66"/>
      <c r="G279" s="66"/>
      <c r="H279" s="66"/>
      <c r="I279" s="66"/>
      <c r="J279" s="66"/>
      <c r="K279" s="66"/>
      <c r="L279" s="264"/>
      <c r="M279" s="66"/>
      <c r="N279" s="66"/>
      <c r="O279" s="66"/>
      <c r="P279" s="66"/>
      <c r="Q279" s="66"/>
      <c r="R279" s="66"/>
      <c r="S279" s="66"/>
    </row>
    <row r="280" spans="3:19" ht="15.75">
      <c r="C280" s="66"/>
      <c r="D280" s="66"/>
      <c r="E280" s="66"/>
      <c r="F280" s="66"/>
      <c r="G280" s="66"/>
      <c r="H280" s="66"/>
      <c r="I280" s="66"/>
      <c r="J280" s="66"/>
      <c r="K280" s="66"/>
      <c r="L280" s="264"/>
      <c r="M280" s="66"/>
      <c r="N280" s="66"/>
      <c r="O280" s="66"/>
      <c r="P280" s="66"/>
      <c r="Q280" s="66"/>
      <c r="R280" s="66"/>
      <c r="S280" s="66"/>
    </row>
    <row r="281" spans="3:19" ht="15.75">
      <c r="C281" s="66"/>
      <c r="D281" s="66"/>
      <c r="E281" s="66"/>
      <c r="F281" s="66"/>
      <c r="G281" s="66"/>
      <c r="H281" s="66"/>
      <c r="I281" s="66"/>
      <c r="J281" s="66"/>
      <c r="K281" s="66"/>
      <c r="L281" s="264"/>
      <c r="M281" s="66"/>
      <c r="N281" s="66"/>
      <c r="O281" s="66"/>
      <c r="P281" s="66"/>
      <c r="Q281" s="66"/>
      <c r="R281" s="66"/>
      <c r="S281" s="66"/>
    </row>
    <row r="282" spans="3:19" ht="15.75">
      <c r="C282" s="66"/>
      <c r="D282" s="66"/>
      <c r="E282" s="66"/>
      <c r="F282" s="66"/>
      <c r="G282" s="66"/>
      <c r="H282" s="66"/>
      <c r="I282" s="66"/>
      <c r="J282" s="66"/>
      <c r="K282" s="66"/>
      <c r="L282" s="264"/>
      <c r="M282" s="66"/>
      <c r="N282" s="66"/>
      <c r="O282" s="66"/>
      <c r="P282" s="66"/>
      <c r="Q282" s="66"/>
      <c r="R282" s="66"/>
      <c r="S282" s="66"/>
    </row>
    <row r="283" spans="3:19" ht="15.75">
      <c r="C283" s="66"/>
      <c r="D283" s="66"/>
      <c r="E283" s="66"/>
      <c r="F283" s="66"/>
      <c r="G283" s="66"/>
      <c r="H283" s="66"/>
      <c r="I283" s="66"/>
      <c r="J283" s="66"/>
      <c r="K283" s="66"/>
      <c r="L283" s="264"/>
      <c r="M283" s="66"/>
      <c r="N283" s="66"/>
      <c r="O283" s="66"/>
      <c r="P283" s="66"/>
      <c r="Q283" s="66"/>
      <c r="R283" s="66"/>
      <c r="S283" s="66"/>
    </row>
    <row r="284" spans="3:19" ht="15.75">
      <c r="C284" s="66"/>
      <c r="D284" s="66"/>
      <c r="E284" s="66"/>
      <c r="F284" s="66"/>
      <c r="G284" s="66"/>
      <c r="H284" s="66"/>
      <c r="I284" s="66"/>
      <c r="J284" s="66"/>
      <c r="K284" s="66"/>
      <c r="L284" s="264"/>
      <c r="M284" s="66"/>
      <c r="N284" s="66"/>
      <c r="O284" s="66"/>
      <c r="P284" s="66"/>
      <c r="Q284" s="66"/>
      <c r="R284" s="66"/>
      <c r="S284" s="66"/>
    </row>
    <row r="285" spans="3:19" ht="15.75">
      <c r="C285" s="66"/>
      <c r="D285" s="66"/>
      <c r="E285" s="66"/>
      <c r="F285" s="66"/>
      <c r="G285" s="66"/>
      <c r="H285" s="66"/>
      <c r="I285" s="66"/>
      <c r="J285" s="66"/>
      <c r="K285" s="66"/>
      <c r="L285" s="264"/>
      <c r="M285" s="66"/>
      <c r="N285" s="66"/>
      <c r="O285" s="66"/>
      <c r="P285" s="66"/>
      <c r="Q285" s="66"/>
      <c r="R285" s="66"/>
      <c r="S285" s="66"/>
    </row>
    <row r="286" spans="3:19" ht="15.75">
      <c r="C286" s="66"/>
      <c r="D286" s="66"/>
      <c r="E286" s="66"/>
      <c r="F286" s="66"/>
      <c r="G286" s="66"/>
      <c r="H286" s="66"/>
      <c r="I286" s="66"/>
      <c r="J286" s="66"/>
      <c r="K286" s="66"/>
      <c r="L286" s="264"/>
      <c r="M286" s="66"/>
      <c r="N286" s="66"/>
      <c r="O286" s="66"/>
      <c r="P286" s="66"/>
      <c r="Q286" s="66"/>
      <c r="R286" s="66"/>
      <c r="S286" s="66"/>
    </row>
    <row r="287" spans="3:19" ht="15.75">
      <c r="C287" s="66"/>
      <c r="D287" s="66"/>
      <c r="E287" s="66"/>
      <c r="F287" s="66"/>
      <c r="G287" s="66"/>
      <c r="H287" s="66"/>
      <c r="I287" s="66"/>
      <c r="J287" s="66"/>
      <c r="K287" s="66"/>
      <c r="L287" s="264"/>
      <c r="M287" s="66"/>
      <c r="N287" s="66"/>
      <c r="O287" s="66"/>
      <c r="P287" s="66"/>
      <c r="Q287" s="66"/>
      <c r="R287" s="66"/>
      <c r="S287" s="66"/>
    </row>
    <row r="288" spans="3:15" ht="15.75">
      <c r="C288" s="66"/>
      <c r="D288" s="66"/>
      <c r="E288" s="66"/>
      <c r="F288" s="66"/>
      <c r="G288" s="66"/>
      <c r="H288" s="66"/>
      <c r="I288" s="66"/>
      <c r="J288" s="66"/>
      <c r="K288" s="66"/>
      <c r="L288" s="264"/>
      <c r="M288" s="66"/>
      <c r="N288" s="66"/>
      <c r="O288" s="66"/>
    </row>
    <row r="289" spans="3:15" ht="15.75">
      <c r="C289" s="66"/>
      <c r="D289" s="66"/>
      <c r="E289" s="66"/>
      <c r="F289" s="66"/>
      <c r="G289" s="66"/>
      <c r="H289" s="66"/>
      <c r="I289" s="66"/>
      <c r="J289" s="66"/>
      <c r="K289" s="66"/>
      <c r="L289" s="264"/>
      <c r="M289" s="66"/>
      <c r="N289" s="66"/>
      <c r="O289" s="66"/>
    </row>
    <row r="290" spans="3:15" ht="15.75">
      <c r="C290" s="66"/>
      <c r="D290" s="66"/>
      <c r="E290" s="66"/>
      <c r="F290" s="66"/>
      <c r="G290" s="66"/>
      <c r="H290" s="66"/>
      <c r="I290" s="66"/>
      <c r="J290" s="66"/>
      <c r="K290" s="66"/>
      <c r="L290" s="264"/>
      <c r="M290" s="66"/>
      <c r="N290" s="66"/>
      <c r="O290" s="66"/>
    </row>
    <row r="291" spans="3:15" ht="15.75">
      <c r="C291" s="66"/>
      <c r="D291" s="66"/>
      <c r="E291" s="66"/>
      <c r="F291" s="66"/>
      <c r="G291" s="66"/>
      <c r="H291" s="66"/>
      <c r="I291" s="66"/>
      <c r="J291" s="66"/>
      <c r="K291" s="66"/>
      <c r="L291" s="264"/>
      <c r="M291" s="66"/>
      <c r="N291" s="66"/>
      <c r="O291" s="66"/>
    </row>
    <row r="292" spans="3:15" ht="15.75">
      <c r="C292" s="66"/>
      <c r="D292" s="66"/>
      <c r="E292" s="66"/>
      <c r="F292" s="66"/>
      <c r="G292" s="66"/>
      <c r="H292" s="66"/>
      <c r="I292" s="66"/>
      <c r="J292" s="66"/>
      <c r="K292" s="66"/>
      <c r="L292" s="264"/>
      <c r="M292" s="66"/>
      <c r="N292" s="66"/>
      <c r="O292" s="66"/>
    </row>
    <row r="293" spans="3:15" ht="15.75">
      <c r="C293" s="66"/>
      <c r="D293" s="66"/>
      <c r="E293" s="66"/>
      <c r="F293" s="66"/>
      <c r="G293" s="66"/>
      <c r="H293" s="66"/>
      <c r="I293" s="66"/>
      <c r="J293" s="66"/>
      <c r="K293" s="66"/>
      <c r="L293" s="264"/>
      <c r="M293" s="66"/>
      <c r="N293" s="66"/>
      <c r="O293" s="66"/>
    </row>
    <row r="294" spans="3:15" ht="15.75">
      <c r="C294" s="66"/>
      <c r="D294" s="66"/>
      <c r="E294" s="66"/>
      <c r="F294" s="66"/>
      <c r="G294" s="66"/>
      <c r="H294" s="66"/>
      <c r="I294" s="66"/>
      <c r="J294" s="66"/>
      <c r="K294" s="66"/>
      <c r="L294" s="264"/>
      <c r="M294" s="66"/>
      <c r="N294" s="66"/>
      <c r="O294" s="66"/>
    </row>
    <row r="295" spans="3:15" ht="15.75">
      <c r="C295" s="66"/>
      <c r="D295" s="66"/>
      <c r="E295" s="66"/>
      <c r="F295" s="66"/>
      <c r="G295" s="66"/>
      <c r="H295" s="66"/>
      <c r="I295" s="66"/>
      <c r="J295" s="66"/>
      <c r="K295" s="66"/>
      <c r="L295" s="264"/>
      <c r="M295" s="66"/>
      <c r="N295" s="66"/>
      <c r="O295" s="66"/>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scale="43" r:id="rId2"/>
      <headerFooter alignWithMargins="0"/>
    </customSheetView>
  </customSheetViews>
  <mergeCells count="12">
    <mergeCell ref="A5:P5"/>
    <mergeCell ref="A6:P6"/>
    <mergeCell ref="A61:P61"/>
    <mergeCell ref="A62:P62"/>
    <mergeCell ref="A7:N7"/>
    <mergeCell ref="C97:O97"/>
    <mergeCell ref="C93:O93"/>
    <mergeCell ref="C94:O94"/>
    <mergeCell ref="C91:O91"/>
    <mergeCell ref="C92:O92"/>
    <mergeCell ref="C95:O95"/>
    <mergeCell ref="C96:O96"/>
  </mergeCells>
  <printOptions horizontalCentered="1"/>
  <pageMargins left="0.7" right="0.7" top="0.75" bottom="0.75" header="0.3" footer="0.3"/>
  <pageSetup fitToHeight="0" fitToWidth="0" orientation="landscape"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election pane="topLeft" activeCell="A79" sqref="A79"/>
    </sheetView>
  </sheetViews>
  <sheetFormatPr defaultColWidth="8.88555555555556" defaultRowHeight="15.75"/>
  <cols>
    <col min="1" max="1" width="6" style="14" customWidth="1"/>
    <col min="2" max="2" width="3.33333333333333" style="14" customWidth="1"/>
    <col min="3" max="3" width="39.1111111111111" style="14" customWidth="1"/>
    <col min="4" max="4" width="12" style="14" customWidth="1"/>
    <col min="5" max="5" width="14.4444444444444" style="14" customWidth="1"/>
    <col min="6" max="6" width="13.8888888888889" style="14" customWidth="1"/>
    <col min="7" max="7" width="14.1111111111111" style="14" customWidth="1"/>
    <col min="8" max="8" width="13.8888888888889" style="14" customWidth="1"/>
    <col min="9" max="10" width="13.1111111111111" style="14" customWidth="1"/>
    <col min="11" max="11" width="13.5555555555556" style="14" customWidth="1"/>
    <col min="12" max="12" width="15.3333333333333" style="14" customWidth="1"/>
    <col min="13" max="13" width="38.8888888888889" style="14" customWidth="1"/>
    <col min="14" max="16384" width="8.88888888888889" style="14"/>
  </cols>
  <sheetData>
    <row r="1" spans="13:13" ht="15.75">
      <c r="M1" s="40" t="s">
        <v>465</v>
      </c>
    </row>
    <row r="2" spans="13:13" ht="15.75">
      <c r="M2" s="40" t="s">
        <v>276</v>
      </c>
    </row>
    <row r="3" spans="13:13" ht="15.75">
      <c r="M3" s="133" t="s">
        <v>435</v>
      </c>
    </row>
    <row r="4" spans="1:7" ht="15.75">
      <c r="A4" s="41"/>
      <c r="G4" s="10"/>
    </row>
    <row r="5" spans="1:4" ht="15.75">
      <c r="A5" s="41"/>
      <c r="C5" s="27"/>
      <c r="D5" s="27"/>
    </row>
    <row r="6" spans="1:12" ht="15.75">
      <c r="A6" s="41"/>
      <c r="C6" s="27"/>
      <c r="D6" s="27"/>
      <c r="L6" s="10"/>
    </row>
    <row r="7" spans="1:1" ht="14.25" customHeight="1">
      <c r="A7" s="41"/>
    </row>
    <row r="8" spans="1:12" ht="15.75">
      <c r="A8" s="832" t="s">
        <v>441</v>
      </c>
      <c r="B8" s="832"/>
      <c r="C8" s="832"/>
      <c r="D8" s="832"/>
      <c r="E8" s="832"/>
      <c r="F8" s="832"/>
      <c r="G8" s="832"/>
      <c r="H8" s="832"/>
      <c r="I8" s="832"/>
      <c r="J8" s="832"/>
      <c r="K8" s="832"/>
      <c r="L8" s="832"/>
    </row>
    <row r="9" spans="1:12" ht="15.75">
      <c r="A9" s="833" t="s">
        <v>437</v>
      </c>
      <c r="B9" s="836"/>
      <c r="C9" s="836"/>
      <c r="D9" s="836"/>
      <c r="E9" s="836"/>
      <c r="F9" s="836"/>
      <c r="G9" s="836"/>
      <c r="H9" s="836"/>
      <c r="I9" s="836"/>
      <c r="J9" s="836"/>
      <c r="K9" s="836"/>
      <c r="L9" s="836"/>
    </row>
    <row r="10" spans="1:12" ht="15.75">
      <c r="A10" s="41"/>
      <c r="E10" s="28"/>
      <c r="H10" s="8"/>
      <c r="I10" s="8"/>
      <c r="J10" s="8"/>
      <c r="K10" s="8"/>
      <c r="L10" s="8"/>
    </row>
    <row r="11" spans="1:12" ht="15.75">
      <c r="A11" s="41"/>
      <c r="E11" s="28"/>
      <c r="F11" s="28"/>
      <c r="H11" s="8"/>
      <c r="I11" s="8"/>
      <c r="J11" s="8"/>
      <c r="K11" s="8"/>
      <c r="L11" s="8"/>
    </row>
    <row r="12" spans="1:11" ht="15.75">
      <c r="A12" s="41"/>
      <c r="C12" s="49" t="s">
        <v>424</v>
      </c>
      <c r="D12" s="49" t="s">
        <v>425</v>
      </c>
      <c r="E12" s="49" t="s">
        <v>426</v>
      </c>
      <c r="F12" s="49" t="s">
        <v>427</v>
      </c>
      <c r="G12" s="49" t="s">
        <v>428</v>
      </c>
      <c r="H12" s="49" t="s">
        <v>429</v>
      </c>
      <c r="I12" s="49" t="s">
        <v>430</v>
      </c>
      <c r="J12" s="49" t="s">
        <v>431</v>
      </c>
      <c r="K12" s="49" t="s">
        <v>432</v>
      </c>
    </row>
    <row r="13" spans="1:11" s="122" customFormat="1" ht="80.1" customHeight="1">
      <c r="A13" s="50" t="s">
        <v>256</v>
      </c>
      <c r="B13" s="121"/>
      <c r="C13" s="52" t="s">
        <v>257</v>
      </c>
      <c r="D13" s="52" t="s">
        <v>258</v>
      </c>
      <c r="E13" s="53" t="s">
        <v>438</v>
      </c>
      <c r="F13" s="53" t="s">
        <v>412</v>
      </c>
      <c r="G13" s="52" t="s">
        <v>439</v>
      </c>
      <c r="H13" s="53" t="s">
        <v>414</v>
      </c>
      <c r="I13" s="53" t="s">
        <v>415</v>
      </c>
      <c r="J13" s="52" t="s">
        <v>416</v>
      </c>
      <c r="K13" s="214" t="s">
        <v>417</v>
      </c>
    </row>
    <row r="14" spans="1:11" ht="46.5" customHeight="1">
      <c r="A14" s="56"/>
      <c r="B14" s="57"/>
      <c r="C14" s="57"/>
      <c r="D14" s="57"/>
      <c r="E14" s="58"/>
      <c r="F14" s="126" t="s">
        <v>740</v>
      </c>
      <c r="G14" s="126" t="s">
        <v>433</v>
      </c>
      <c r="H14" s="126" t="s">
        <v>741</v>
      </c>
      <c r="I14" s="58" t="s">
        <v>434</v>
      </c>
      <c r="J14" s="126" t="s">
        <v>575</v>
      </c>
      <c r="K14" s="215" t="s">
        <v>754</v>
      </c>
    </row>
    <row r="15" spans="1:11" ht="15.75">
      <c r="A15" s="61"/>
      <c r="B15" s="8"/>
      <c r="C15" s="8"/>
      <c r="D15" s="8"/>
      <c r="E15" s="123"/>
      <c r="F15" s="123"/>
      <c r="G15" s="123"/>
      <c r="H15" s="123"/>
      <c r="I15" s="123"/>
      <c r="J15" s="123"/>
      <c r="K15" s="124"/>
    </row>
    <row r="16" spans="1:11" ht="15.75">
      <c r="A16" s="125">
        <v>1</v>
      </c>
      <c r="B16" s="8" t="s">
        <v>364</v>
      </c>
      <c r="C16" s="8" t="s">
        <v>440</v>
      </c>
      <c r="D16" s="8"/>
      <c r="E16" s="588">
        <v>289956</v>
      </c>
      <c r="F16" s="86"/>
      <c r="G16" s="86"/>
      <c r="H16" s="86"/>
      <c r="I16" s="86"/>
      <c r="J16" s="86"/>
      <c r="K16" s="127"/>
    </row>
    <row r="17" spans="1:11" ht="15.75">
      <c r="A17" s="61"/>
      <c r="B17" s="8"/>
      <c r="C17" s="8"/>
      <c r="D17" s="8"/>
      <c r="E17" s="86"/>
      <c r="F17" s="86"/>
      <c r="G17" s="86"/>
      <c r="H17" s="86"/>
      <c r="I17" s="86"/>
      <c r="J17" s="86"/>
      <c r="K17" s="127"/>
    </row>
    <row r="18" spans="1:11" ht="15.6" customHeight="1">
      <c r="A18" s="79" t="s">
        <v>329</v>
      </c>
      <c r="B18" s="46"/>
      <c r="C18" s="777" t="s">
        <v>865</v>
      </c>
      <c r="D18" s="247">
        <v>890</v>
      </c>
      <c r="E18" s="799"/>
      <c r="F18" s="185">
        <v>112138.21967284917</v>
      </c>
      <c r="G18" s="170">
        <f>IF(F$33&gt;0,(E$16*(F18/F$33)),0)</f>
        <v>122482.54647554421</v>
      </c>
      <c r="H18" s="185">
        <v>108613.102609154</v>
      </c>
      <c r="I18" s="170">
        <f>H18-G18</f>
        <v>-13869.443866390211</v>
      </c>
      <c r="J18" s="171">
        <f>I18*((I$35/I$36)-1)</f>
        <v>-983.03801457736859</v>
      </c>
      <c r="K18" s="589">
        <f>I18+J18</f>
        <v>-14852.48188096758</v>
      </c>
    </row>
    <row r="19" spans="1:11" ht="15.75">
      <c r="A19" s="79" t="s">
        <v>352</v>
      </c>
      <c r="B19" s="46"/>
      <c r="C19" s="777" t="s">
        <v>866</v>
      </c>
      <c r="D19" s="247">
        <v>1326</v>
      </c>
      <c r="E19" s="799"/>
      <c r="F19" s="185">
        <v>153329.39640053868</v>
      </c>
      <c r="G19" s="170">
        <f>IF(F$33&gt;0,(E$16*(F19/F$33)),0)</f>
        <v>167473.45352445581</v>
      </c>
      <c r="H19" s="185">
        <v>147768.74275796601</v>
      </c>
      <c r="I19" s="170">
        <f>H19-G19</f>
        <v>-19704.710766489792</v>
      </c>
      <c r="J19" s="171">
        <f t="shared" si="0" ref="J19">I19*((I$35/I$36)-1)</f>
        <v>-1396.6298819415433</v>
      </c>
      <c r="K19" s="589">
        <f t="shared" si="1" ref="K19">I19+J19</f>
        <v>-21101.340648431335</v>
      </c>
    </row>
    <row r="20" spans="1:11" ht="15.6" customHeight="1">
      <c r="A20" s="64"/>
      <c r="C20" s="66"/>
      <c r="D20" s="66"/>
      <c r="E20" s="799"/>
      <c r="F20" s="792"/>
      <c r="G20" s="129"/>
      <c r="H20" s="129"/>
      <c r="I20" s="129"/>
      <c r="J20" s="129"/>
      <c r="K20" s="130"/>
    </row>
    <row r="21" spans="1:11" ht="15.75">
      <c r="A21" s="64"/>
      <c r="C21" s="66"/>
      <c r="D21" s="66"/>
      <c r="E21" s="799"/>
      <c r="F21" s="792"/>
      <c r="G21" s="129"/>
      <c r="H21" s="129"/>
      <c r="I21" s="129"/>
      <c r="J21" s="129"/>
      <c r="K21" s="130"/>
    </row>
    <row r="22" spans="1:11" ht="15.75">
      <c r="A22" s="64"/>
      <c r="C22" s="66"/>
      <c r="D22" s="66"/>
      <c r="E22" s="799"/>
      <c r="F22" s="792"/>
      <c r="G22" s="129"/>
      <c r="H22" s="129"/>
      <c r="I22" s="129"/>
      <c r="J22" s="129"/>
      <c r="K22" s="130"/>
    </row>
    <row r="23" spans="1:11" ht="15.75">
      <c r="A23" s="64"/>
      <c r="C23" s="66"/>
      <c r="D23" s="66"/>
      <c r="E23" s="799"/>
      <c r="F23" s="792"/>
      <c r="G23" s="129"/>
      <c r="H23" s="129"/>
      <c r="I23" s="129"/>
      <c r="J23" s="129"/>
      <c r="K23" s="130"/>
    </row>
    <row r="24" spans="1:11" ht="15.75">
      <c r="A24" s="64"/>
      <c r="C24" s="66"/>
      <c r="D24" s="66"/>
      <c r="E24" s="799"/>
      <c r="F24" s="792"/>
      <c r="G24" s="129"/>
      <c r="H24" s="129"/>
      <c r="I24" s="129"/>
      <c r="J24" s="129"/>
      <c r="K24" s="130"/>
    </row>
    <row r="25" spans="1:11" ht="15.75">
      <c r="A25" s="64"/>
      <c r="C25" s="66"/>
      <c r="D25" s="66"/>
      <c r="E25" s="799"/>
      <c r="F25" s="792"/>
      <c r="G25" s="129"/>
      <c r="H25" s="129"/>
      <c r="I25" s="129"/>
      <c r="J25" s="129"/>
      <c r="K25" s="130"/>
    </row>
    <row r="26" spans="1:11" ht="15.75">
      <c r="A26" s="64"/>
      <c r="C26" s="66"/>
      <c r="D26" s="66"/>
      <c r="E26" s="799"/>
      <c r="F26" s="792"/>
      <c r="G26" s="129"/>
      <c r="H26" s="129"/>
      <c r="I26" s="129"/>
      <c r="J26" s="129"/>
      <c r="K26" s="130"/>
    </row>
    <row r="27" spans="1:11" ht="15.75">
      <c r="A27" s="64"/>
      <c r="C27" s="66"/>
      <c r="D27" s="66"/>
      <c r="E27" s="799"/>
      <c r="F27" s="792"/>
      <c r="G27" s="129"/>
      <c r="H27" s="129"/>
      <c r="I27" s="129"/>
      <c r="J27" s="129"/>
      <c r="K27" s="130"/>
    </row>
    <row r="28" spans="1:11" ht="15.75">
      <c r="A28" s="64"/>
      <c r="C28" s="66"/>
      <c r="D28" s="66"/>
      <c r="E28" s="799"/>
      <c r="F28" s="792"/>
      <c r="G28" s="129"/>
      <c r="H28" s="129"/>
      <c r="I28" s="129"/>
      <c r="J28" s="129"/>
      <c r="K28" s="130"/>
    </row>
    <row r="29" spans="1:11" ht="15.75">
      <c r="A29" s="64"/>
      <c r="C29" s="66"/>
      <c r="D29" s="66"/>
      <c r="E29" s="799"/>
      <c r="F29" s="792"/>
      <c r="G29" s="129"/>
      <c r="H29" s="129"/>
      <c r="I29" s="129"/>
      <c r="J29" s="129"/>
      <c r="K29" s="130"/>
    </row>
    <row r="30" spans="1:11" ht="15.75">
      <c r="A30" s="64"/>
      <c r="C30" s="66"/>
      <c r="D30" s="66"/>
      <c r="E30" s="799"/>
      <c r="F30" s="129"/>
      <c r="G30" s="129"/>
      <c r="H30" s="129"/>
      <c r="I30" s="129"/>
      <c r="J30" s="129"/>
      <c r="K30" s="130"/>
    </row>
    <row r="31" spans="1:11" ht="15.75">
      <c r="A31" s="64"/>
      <c r="C31" s="66"/>
      <c r="D31" s="66"/>
      <c r="E31" s="799"/>
      <c r="F31" s="129"/>
      <c r="G31" s="129"/>
      <c r="H31" s="129"/>
      <c r="I31" s="129"/>
      <c r="J31" s="129"/>
      <c r="K31" s="130"/>
    </row>
    <row r="32" spans="1:11" ht="15.75">
      <c r="A32" s="68"/>
      <c r="B32" s="69"/>
      <c r="C32" s="70"/>
      <c r="D32" s="70"/>
      <c r="E32" s="800"/>
      <c r="F32" s="131"/>
      <c r="G32" s="131"/>
      <c r="H32" s="131"/>
      <c r="I32" s="131"/>
      <c r="J32" s="131"/>
      <c r="K32" s="132"/>
    </row>
    <row r="33" spans="1:12" ht="15.75">
      <c r="A33" s="12" t="s">
        <v>345</v>
      </c>
      <c r="B33" s="48"/>
      <c r="C33" s="14" t="s">
        <v>423</v>
      </c>
      <c r="D33" s="27"/>
      <c r="E33" s="46"/>
      <c r="F33" s="590">
        <f>SUM(F18:F32)</f>
        <v>265467.61607338785</v>
      </c>
      <c r="G33" s="590">
        <f>SUM(G18:G32)</f>
        <v>289956</v>
      </c>
      <c r="H33" s="590">
        <f>SUM(H18:H32)</f>
        <v>256381.84536712</v>
      </c>
      <c r="I33" s="128"/>
      <c r="J33" s="128"/>
      <c r="K33" s="128"/>
      <c r="L33" s="128"/>
    </row>
    <row r="34" spans="1:5" ht="15.75">
      <c r="A34" s="66"/>
      <c r="B34" s="66"/>
      <c r="E34" s="66"/>
    </row>
    <row r="35" spans="1:9" ht="15.75">
      <c r="A35" s="46" t="s">
        <v>223</v>
      </c>
      <c r="C35" s="14" t="s">
        <v>479</v>
      </c>
      <c r="D35" s="140"/>
      <c r="I35" s="170">
        <f>-'Appendix H-Rev Req True-up Adj'!H51</f>
        <v>43746038.622278422</v>
      </c>
    </row>
    <row r="36" spans="1:9" ht="15.75">
      <c r="A36" s="46" t="s">
        <v>224</v>
      </c>
      <c r="C36" s="14" t="s">
        <v>480</v>
      </c>
      <c r="I36" s="170">
        <f>'Appendix H-Rev Req True-up Adj'!H52</f>
        <v>40850629</v>
      </c>
    </row>
    <row r="37" spans="1:1" ht="15.75">
      <c r="A37" s="46"/>
    </row>
    <row r="38" spans="1:9" ht="15.75">
      <c r="A38" s="631"/>
      <c r="I38" s="170"/>
    </row>
    <row r="39" spans="3:3" ht="15.75">
      <c r="C39" s="169"/>
    </row>
    <row r="40" spans="1:12" ht="15.75">
      <c r="A40" s="66"/>
      <c r="B40" s="66"/>
      <c r="C40" s="66"/>
      <c r="D40" s="66"/>
      <c r="E40" s="66"/>
      <c r="F40" s="66"/>
      <c r="G40" s="66"/>
      <c r="H40" s="66"/>
      <c r="I40" s="66"/>
      <c r="J40" s="66"/>
      <c r="K40" s="66"/>
      <c r="L40" s="66"/>
    </row>
    <row r="41" spans="1:12" ht="15.75">
      <c r="A41" s="66" t="s">
        <v>436</v>
      </c>
      <c r="B41" s="66"/>
      <c r="C41" s="66"/>
      <c r="D41" s="66"/>
      <c r="E41" s="66"/>
      <c r="F41" s="66"/>
      <c r="G41" s="66"/>
      <c r="H41" s="66"/>
      <c r="I41" s="66"/>
      <c r="J41" s="66"/>
      <c r="K41" s="66"/>
      <c r="L41" s="66"/>
    </row>
    <row r="42" spans="1:12" ht="15.75">
      <c r="A42" s="76"/>
      <c r="B42" s="66" t="s">
        <v>364</v>
      </c>
      <c r="C42" s="66" t="s">
        <v>421</v>
      </c>
      <c r="D42" s="66"/>
      <c r="E42" s="66"/>
      <c r="F42" s="66"/>
      <c r="G42" s="66"/>
      <c r="H42" s="66"/>
      <c r="I42" s="66"/>
      <c r="J42" s="66"/>
      <c r="K42" s="66"/>
      <c r="L42" s="66"/>
    </row>
    <row r="43" spans="1:10" ht="15.75">
      <c r="A43" s="11"/>
      <c r="C43" s="12"/>
      <c r="D43" s="12"/>
      <c r="E43" s="46"/>
      <c r="F43" s="46"/>
      <c r="G43" s="10"/>
      <c r="J43" s="44"/>
    </row>
    <row r="44" spans="1:10" ht="15.75">
      <c r="A44" s="11"/>
      <c r="C44" s="12"/>
      <c r="D44" s="12"/>
      <c r="E44" s="46"/>
      <c r="F44" s="46"/>
      <c r="G44" s="10"/>
      <c r="J44" s="44"/>
    </row>
    <row r="45" spans="3:12" ht="15.75">
      <c r="C45" s="66"/>
      <c r="D45" s="66"/>
      <c r="E45" s="66"/>
      <c r="F45" s="66"/>
      <c r="G45" s="66"/>
      <c r="H45" s="66"/>
      <c r="I45" s="66"/>
      <c r="J45" s="66"/>
      <c r="K45" s="66"/>
      <c r="L45" s="66"/>
    </row>
    <row r="46" spans="3:12" ht="15.75">
      <c r="C46" s="66"/>
      <c r="D46" s="66"/>
      <c r="E46" s="66"/>
      <c r="F46" s="66"/>
      <c r="G46" s="66"/>
      <c r="H46" s="66"/>
      <c r="I46" s="66"/>
      <c r="J46" s="66"/>
      <c r="K46" s="66"/>
      <c r="L46" s="66"/>
    </row>
    <row r="47" spans="3:12" ht="15.75">
      <c r="C47" s="66"/>
      <c r="D47" s="66"/>
      <c r="E47" s="66"/>
      <c r="F47" s="66"/>
      <c r="G47" s="66"/>
      <c r="H47" s="66"/>
      <c r="I47" s="66"/>
      <c r="J47" s="66"/>
      <c r="K47" s="66"/>
      <c r="L47" s="66"/>
    </row>
    <row r="48" spans="3:12" ht="15.75">
      <c r="C48" s="66"/>
      <c r="D48" s="66"/>
      <c r="E48" s="66"/>
      <c r="F48" s="66"/>
      <c r="G48" s="66"/>
      <c r="H48" s="66"/>
      <c r="I48" s="66"/>
      <c r="J48" s="66"/>
      <c r="K48" s="66"/>
      <c r="L48" s="66"/>
    </row>
    <row r="49" spans="3:12" ht="15.75">
      <c r="C49" s="66"/>
      <c r="D49" s="66"/>
      <c r="E49" s="66"/>
      <c r="F49" s="66"/>
      <c r="G49" s="66"/>
      <c r="H49" s="66"/>
      <c r="I49" s="66"/>
      <c r="J49" s="66"/>
      <c r="K49" s="66"/>
      <c r="L49" s="66"/>
    </row>
    <row r="50" spans="3:12" ht="15.75">
      <c r="C50" s="66"/>
      <c r="D50" s="66"/>
      <c r="E50" s="66"/>
      <c r="F50" s="66"/>
      <c r="G50" s="66"/>
      <c r="H50" s="66"/>
      <c r="I50" s="66"/>
      <c r="J50" s="66"/>
      <c r="K50" s="66"/>
      <c r="L50" s="66"/>
    </row>
    <row r="51" spans="3:12" ht="15.75">
      <c r="C51" s="66"/>
      <c r="D51" s="66"/>
      <c r="E51" s="66"/>
      <c r="F51" s="66"/>
      <c r="G51" s="66"/>
      <c r="H51" s="66"/>
      <c r="I51" s="66"/>
      <c r="J51" s="66"/>
      <c r="K51" s="66"/>
      <c r="L51" s="66"/>
    </row>
    <row r="52" spans="3:12" ht="15.75">
      <c r="C52" s="66"/>
      <c r="D52" s="66"/>
      <c r="E52" s="66"/>
      <c r="F52" s="66"/>
      <c r="G52" s="66"/>
      <c r="H52" s="66"/>
      <c r="I52" s="66"/>
      <c r="J52" s="66"/>
      <c r="K52" s="66"/>
      <c r="L52" s="66"/>
    </row>
    <row r="53" spans="3:12" ht="15.75">
      <c r="C53" s="66"/>
      <c r="D53" s="66"/>
      <c r="E53" s="66"/>
      <c r="F53" s="66"/>
      <c r="G53" s="66"/>
      <c r="H53" s="66"/>
      <c r="I53" s="66"/>
      <c r="J53" s="66"/>
      <c r="K53" s="66"/>
      <c r="L53" s="66"/>
    </row>
    <row r="54" spans="3:12" ht="15.75">
      <c r="C54" s="66"/>
      <c r="D54" s="66"/>
      <c r="E54" s="66"/>
      <c r="F54" s="66"/>
      <c r="G54" s="66"/>
      <c r="H54" s="66"/>
      <c r="I54" s="66"/>
      <c r="J54" s="66"/>
      <c r="K54" s="66"/>
      <c r="L54" s="66"/>
    </row>
    <row r="55" spans="3:12" ht="15.75">
      <c r="C55" s="66"/>
      <c r="D55" s="66"/>
      <c r="E55" s="66"/>
      <c r="F55" s="66"/>
      <c r="G55" s="66"/>
      <c r="H55" s="66"/>
      <c r="I55" s="66"/>
      <c r="J55" s="66"/>
      <c r="K55" s="66"/>
      <c r="L55" s="66"/>
    </row>
    <row r="56" spans="3:12" ht="15.75">
      <c r="C56" s="66"/>
      <c r="D56" s="66"/>
      <c r="E56" s="66"/>
      <c r="F56" s="66"/>
      <c r="G56" s="66"/>
      <c r="H56" s="66"/>
      <c r="I56" s="66"/>
      <c r="J56" s="66"/>
      <c r="K56" s="66"/>
      <c r="L56" s="66"/>
    </row>
    <row r="57" spans="3:12" ht="15.75">
      <c r="C57" s="66"/>
      <c r="D57" s="66"/>
      <c r="E57" s="66"/>
      <c r="F57" s="66"/>
      <c r="G57" s="66"/>
      <c r="H57" s="66"/>
      <c r="I57" s="66"/>
      <c r="J57" s="66"/>
      <c r="K57" s="66"/>
      <c r="L57" s="66"/>
    </row>
    <row r="58" spans="3:12" ht="15.75">
      <c r="C58" s="66"/>
      <c r="D58" s="66"/>
      <c r="E58" s="66"/>
      <c r="F58" s="66"/>
      <c r="G58" s="66"/>
      <c r="H58" s="66"/>
      <c r="I58" s="66"/>
      <c r="J58" s="66"/>
      <c r="K58" s="66"/>
      <c r="L58" s="66"/>
    </row>
    <row r="59" spans="3:12" ht="15.75">
      <c r="C59" s="66"/>
      <c r="D59" s="66"/>
      <c r="E59" s="66"/>
      <c r="F59" s="66"/>
      <c r="G59" s="66"/>
      <c r="H59" s="66"/>
      <c r="I59" s="66"/>
      <c r="J59" s="66"/>
      <c r="K59" s="66"/>
      <c r="L59" s="66"/>
    </row>
    <row r="60" spans="3:12" ht="15.75">
      <c r="C60" s="66"/>
      <c r="D60" s="66"/>
      <c r="E60" s="66"/>
      <c r="F60" s="66"/>
      <c r="G60" s="66"/>
      <c r="H60" s="66"/>
      <c r="I60" s="66"/>
      <c r="J60" s="66"/>
      <c r="K60" s="66"/>
      <c r="L60" s="66"/>
    </row>
    <row r="61" spans="3:12" ht="15.75">
      <c r="C61" s="66"/>
      <c r="D61" s="66"/>
      <c r="E61" s="66"/>
      <c r="F61" s="66"/>
      <c r="G61" s="66"/>
      <c r="H61" s="66"/>
      <c r="I61" s="66"/>
      <c r="J61" s="66"/>
      <c r="K61" s="66"/>
      <c r="L61" s="66"/>
    </row>
    <row r="62" spans="3:12" ht="15.75">
      <c r="C62" s="66"/>
      <c r="D62" s="66"/>
      <c r="E62" s="66"/>
      <c r="F62" s="66"/>
      <c r="G62" s="66"/>
      <c r="H62" s="66"/>
      <c r="I62" s="66"/>
      <c r="J62" s="66"/>
      <c r="K62" s="66"/>
      <c r="L62" s="66"/>
    </row>
    <row r="63" spans="3:12" ht="15.75">
      <c r="C63" s="66"/>
      <c r="D63" s="66"/>
      <c r="E63" s="66"/>
      <c r="F63" s="66"/>
      <c r="G63" s="66"/>
      <c r="H63" s="66"/>
      <c r="I63" s="66"/>
      <c r="J63" s="66"/>
      <c r="K63" s="66"/>
      <c r="L63" s="66"/>
    </row>
    <row r="64" spans="3:12" ht="15.75">
      <c r="C64" s="66"/>
      <c r="D64" s="66"/>
      <c r="E64" s="66"/>
      <c r="F64" s="66"/>
      <c r="G64" s="66"/>
      <c r="H64" s="66"/>
      <c r="I64" s="66"/>
      <c r="J64" s="66"/>
      <c r="K64" s="66"/>
      <c r="L64" s="66"/>
    </row>
    <row r="65" spans="3:12" ht="15.75">
      <c r="C65" s="66"/>
      <c r="D65" s="66"/>
      <c r="E65" s="66"/>
      <c r="F65" s="66"/>
      <c r="G65" s="66"/>
      <c r="H65" s="66"/>
      <c r="I65" s="66"/>
      <c r="J65" s="66"/>
      <c r="K65" s="66"/>
      <c r="L65" s="66"/>
    </row>
    <row r="66" spans="3:12" ht="15.75">
      <c r="C66" s="66"/>
      <c r="D66" s="66"/>
      <c r="E66" s="66"/>
      <c r="F66" s="66"/>
      <c r="G66" s="66"/>
      <c r="H66" s="66"/>
      <c r="I66" s="66"/>
      <c r="J66" s="66"/>
      <c r="K66" s="66"/>
      <c r="L66" s="66"/>
    </row>
    <row r="67" spans="3:12" ht="15.75">
      <c r="C67" s="66"/>
      <c r="D67" s="66"/>
      <c r="E67" s="66"/>
      <c r="F67" s="66"/>
      <c r="G67" s="66"/>
      <c r="H67" s="66"/>
      <c r="I67" s="66"/>
      <c r="J67" s="66"/>
      <c r="K67" s="66"/>
      <c r="L67" s="66"/>
    </row>
    <row r="68" spans="3:12" ht="15.75">
      <c r="C68" s="66"/>
      <c r="D68" s="66"/>
      <c r="E68" s="66"/>
      <c r="F68" s="66"/>
      <c r="G68" s="66"/>
      <c r="H68" s="66"/>
      <c r="I68" s="66"/>
      <c r="J68" s="66"/>
      <c r="K68" s="66"/>
      <c r="L68" s="66"/>
    </row>
    <row r="69" spans="3:12" ht="15.75">
      <c r="C69" s="66"/>
      <c r="D69" s="66"/>
      <c r="E69" s="66"/>
      <c r="F69" s="66"/>
      <c r="G69" s="66"/>
      <c r="H69" s="66"/>
      <c r="I69" s="66"/>
      <c r="J69" s="66"/>
      <c r="K69" s="66"/>
      <c r="L69" s="66"/>
    </row>
    <row r="70" spans="3:12" ht="15.75">
      <c r="C70" s="66"/>
      <c r="D70" s="66"/>
      <c r="E70" s="66"/>
      <c r="F70" s="66"/>
      <c r="G70" s="66"/>
      <c r="H70" s="66"/>
      <c r="I70" s="66"/>
      <c r="J70" s="66"/>
      <c r="K70" s="66"/>
      <c r="L70" s="66"/>
    </row>
    <row r="71" spans="3:12" ht="15.75">
      <c r="C71" s="66"/>
      <c r="D71" s="66"/>
      <c r="E71" s="66"/>
      <c r="F71" s="66"/>
      <c r="G71" s="66"/>
      <c r="H71" s="66"/>
      <c r="I71" s="66"/>
      <c r="J71" s="66"/>
      <c r="K71" s="66"/>
      <c r="L71" s="66"/>
    </row>
    <row r="72" spans="3:12" ht="15.75">
      <c r="C72" s="66"/>
      <c r="D72" s="66"/>
      <c r="E72" s="66"/>
      <c r="F72" s="66"/>
      <c r="G72" s="66"/>
      <c r="H72" s="66"/>
      <c r="I72" s="66"/>
      <c r="J72" s="66"/>
      <c r="K72" s="66"/>
      <c r="L72" s="66"/>
    </row>
    <row r="73" spans="3:12" ht="15.75">
      <c r="C73" s="66"/>
      <c r="D73" s="66"/>
      <c r="E73" s="66"/>
      <c r="F73" s="66"/>
      <c r="G73" s="66"/>
      <c r="H73" s="66"/>
      <c r="I73" s="66"/>
      <c r="J73" s="66"/>
      <c r="K73" s="66"/>
      <c r="L73" s="66"/>
    </row>
    <row r="74" spans="3:12" ht="15.75">
      <c r="C74" s="66"/>
      <c r="D74" s="66"/>
      <c r="E74" s="66"/>
      <c r="F74" s="66"/>
      <c r="G74" s="66"/>
      <c r="H74" s="66"/>
      <c r="I74" s="66"/>
      <c r="J74" s="66"/>
      <c r="K74" s="66"/>
      <c r="L74" s="66"/>
    </row>
    <row r="75" spans="3:12" ht="15.75">
      <c r="C75" s="66"/>
      <c r="D75" s="66"/>
      <c r="E75" s="66"/>
      <c r="F75" s="66"/>
      <c r="G75" s="66"/>
      <c r="H75" s="66"/>
      <c r="I75" s="66"/>
      <c r="J75" s="66"/>
      <c r="K75" s="66"/>
      <c r="L75" s="66"/>
    </row>
    <row r="76" spans="3:12" ht="15.75">
      <c r="C76" s="66"/>
      <c r="D76" s="66"/>
      <c r="E76" s="66"/>
      <c r="F76" s="66"/>
      <c r="G76" s="66"/>
      <c r="H76" s="66"/>
      <c r="I76" s="66"/>
      <c r="J76" s="66"/>
      <c r="K76" s="66"/>
      <c r="L76" s="66"/>
    </row>
    <row r="77" spans="3:12" ht="15.75">
      <c r="C77" s="66"/>
      <c r="D77" s="66"/>
      <c r="E77" s="66"/>
      <c r="F77" s="66"/>
      <c r="G77" s="66"/>
      <c r="H77" s="66"/>
      <c r="I77" s="66"/>
      <c r="J77" s="66"/>
      <c r="K77" s="66"/>
      <c r="L77" s="66"/>
    </row>
    <row r="78" spans="3:12" ht="15.75">
      <c r="C78" s="66"/>
      <c r="D78" s="66"/>
      <c r="E78" s="66"/>
      <c r="F78" s="66"/>
      <c r="G78" s="66"/>
      <c r="H78" s="66"/>
      <c r="I78" s="66"/>
      <c r="J78" s="66"/>
      <c r="K78" s="66"/>
      <c r="L78" s="66"/>
    </row>
    <row r="79" spans="3:12" ht="15.75">
      <c r="C79" s="66"/>
      <c r="D79" s="66"/>
      <c r="E79" s="66"/>
      <c r="F79" s="66"/>
      <c r="G79" s="66"/>
      <c r="H79" s="66"/>
      <c r="I79" s="66"/>
      <c r="J79" s="66"/>
      <c r="K79" s="66"/>
      <c r="L79" s="66"/>
    </row>
    <row r="80" spans="3:12" ht="15.75">
      <c r="C80" s="66"/>
      <c r="D80" s="66"/>
      <c r="E80" s="66"/>
      <c r="F80" s="66"/>
      <c r="G80" s="66"/>
      <c r="H80" s="66"/>
      <c r="I80" s="66"/>
      <c r="J80" s="66"/>
      <c r="K80" s="66"/>
      <c r="L80" s="66"/>
    </row>
    <row r="81" spans="3:12" ht="15.75">
      <c r="C81" s="66"/>
      <c r="D81" s="66"/>
      <c r="E81" s="66"/>
      <c r="F81" s="66"/>
      <c r="G81" s="66"/>
      <c r="H81" s="66"/>
      <c r="I81" s="66"/>
      <c r="J81" s="66"/>
      <c r="K81" s="66"/>
      <c r="L81" s="66"/>
    </row>
    <row r="82" spans="3:12" ht="15.75">
      <c r="C82" s="66"/>
      <c r="D82" s="66"/>
      <c r="E82" s="66"/>
      <c r="F82" s="66"/>
      <c r="G82" s="66"/>
      <c r="H82" s="66"/>
      <c r="I82" s="66"/>
      <c r="J82" s="66"/>
      <c r="K82" s="66"/>
      <c r="L82" s="66"/>
    </row>
    <row r="83" spans="3:12" ht="15.75">
      <c r="C83" s="66"/>
      <c r="D83" s="66"/>
      <c r="E83" s="66"/>
      <c r="F83" s="66"/>
      <c r="G83" s="66"/>
      <c r="H83" s="66"/>
      <c r="I83" s="66"/>
      <c r="J83" s="66"/>
      <c r="K83" s="66"/>
      <c r="L83" s="66"/>
    </row>
    <row r="84" spans="3:12" ht="15.75">
      <c r="C84" s="66"/>
      <c r="D84" s="66"/>
      <c r="E84" s="66"/>
      <c r="F84" s="66"/>
      <c r="G84" s="66"/>
      <c r="H84" s="66"/>
      <c r="I84" s="66"/>
      <c r="J84" s="66"/>
      <c r="K84" s="66"/>
      <c r="L84" s="66"/>
    </row>
    <row r="85" spans="3:12" ht="15.75">
      <c r="C85" s="66"/>
      <c r="D85" s="66"/>
      <c r="E85" s="66"/>
      <c r="F85" s="66"/>
      <c r="G85" s="66"/>
      <c r="H85" s="66"/>
      <c r="I85" s="66"/>
      <c r="J85" s="66"/>
      <c r="K85" s="66"/>
      <c r="L85" s="66"/>
    </row>
    <row r="86" spans="3:12" ht="15.75">
      <c r="C86" s="66"/>
      <c r="D86" s="66"/>
      <c r="E86" s="66"/>
      <c r="F86" s="66"/>
      <c r="G86" s="66"/>
      <c r="H86" s="66"/>
      <c r="I86" s="66"/>
      <c r="J86" s="66"/>
      <c r="K86" s="66"/>
      <c r="L86" s="66"/>
    </row>
    <row r="87" spans="3:12" ht="15.75">
      <c r="C87" s="66"/>
      <c r="D87" s="66"/>
      <c r="E87" s="66"/>
      <c r="F87" s="66"/>
      <c r="G87" s="66"/>
      <c r="H87" s="66"/>
      <c r="I87" s="66"/>
      <c r="J87" s="66"/>
      <c r="K87" s="66"/>
      <c r="L87" s="66"/>
    </row>
    <row r="88" spans="3:12" ht="15.75">
      <c r="C88" s="66"/>
      <c r="D88" s="66"/>
      <c r="E88" s="66"/>
      <c r="F88" s="66"/>
      <c r="G88" s="66"/>
      <c r="H88" s="66"/>
      <c r="I88" s="66"/>
      <c r="J88" s="66"/>
      <c r="K88" s="66"/>
      <c r="L88" s="66"/>
    </row>
    <row r="89" spans="3:12" ht="15.75">
      <c r="C89" s="66"/>
      <c r="D89" s="66"/>
      <c r="E89" s="66"/>
      <c r="F89" s="66"/>
      <c r="G89" s="66"/>
      <c r="H89" s="66"/>
      <c r="I89" s="66"/>
      <c r="J89" s="66"/>
      <c r="K89" s="66"/>
      <c r="L89" s="66"/>
    </row>
    <row r="90" spans="3:12" ht="15.75">
      <c r="C90" s="66"/>
      <c r="D90" s="66"/>
      <c r="E90" s="66"/>
      <c r="F90" s="66"/>
      <c r="G90" s="66"/>
      <c r="H90" s="66"/>
      <c r="I90" s="66"/>
      <c r="J90" s="66"/>
      <c r="K90" s="66"/>
      <c r="L90" s="66"/>
    </row>
    <row r="91" spans="3:12" ht="15.75">
      <c r="C91" s="66"/>
      <c r="D91" s="66"/>
      <c r="E91" s="66"/>
      <c r="F91" s="66"/>
      <c r="G91" s="66"/>
      <c r="H91" s="66"/>
      <c r="I91" s="66"/>
      <c r="J91" s="66"/>
      <c r="K91" s="66"/>
      <c r="L91" s="66"/>
    </row>
    <row r="92" spans="3:12" ht="15.75">
      <c r="C92" s="66"/>
      <c r="D92" s="66"/>
      <c r="E92" s="66"/>
      <c r="F92" s="66"/>
      <c r="G92" s="66"/>
      <c r="H92" s="66"/>
      <c r="I92" s="66"/>
      <c r="J92" s="66"/>
      <c r="K92" s="66"/>
      <c r="L92" s="66"/>
    </row>
    <row r="93" spans="3:12" ht="15.75">
      <c r="C93" s="66"/>
      <c r="D93" s="66"/>
      <c r="E93" s="66"/>
      <c r="F93" s="66"/>
      <c r="G93" s="66"/>
      <c r="H93" s="66"/>
      <c r="I93" s="66"/>
      <c r="J93" s="66"/>
      <c r="K93" s="66"/>
      <c r="L93" s="66"/>
    </row>
    <row r="94" spans="3:12" ht="15.75">
      <c r="C94" s="66"/>
      <c r="D94" s="66"/>
      <c r="E94" s="66"/>
      <c r="F94" s="66"/>
      <c r="G94" s="66"/>
      <c r="H94" s="66"/>
      <c r="I94" s="66"/>
      <c r="J94" s="66"/>
      <c r="K94" s="66"/>
      <c r="L94" s="66"/>
    </row>
    <row r="95" spans="3:12" ht="15.75">
      <c r="C95" s="66"/>
      <c r="D95" s="66"/>
      <c r="E95" s="66"/>
      <c r="F95" s="66"/>
      <c r="G95" s="66"/>
      <c r="H95" s="66"/>
      <c r="I95" s="66"/>
      <c r="J95" s="66"/>
      <c r="K95" s="66"/>
      <c r="L95" s="66"/>
    </row>
    <row r="96" spans="3:12" ht="15.75">
      <c r="C96" s="66"/>
      <c r="D96" s="66"/>
      <c r="E96" s="66"/>
      <c r="F96" s="66"/>
      <c r="G96" s="66"/>
      <c r="H96" s="66"/>
      <c r="I96" s="66"/>
      <c r="J96" s="66"/>
      <c r="K96" s="66"/>
      <c r="L96" s="66"/>
    </row>
    <row r="97" spans="3:12" ht="15.75">
      <c r="C97" s="66"/>
      <c r="D97" s="66"/>
      <c r="E97" s="66"/>
      <c r="F97" s="66"/>
      <c r="G97" s="66"/>
      <c r="H97" s="66"/>
      <c r="I97" s="66"/>
      <c r="J97" s="66"/>
      <c r="K97" s="66"/>
      <c r="L97" s="66"/>
    </row>
    <row r="98" spans="3:12" ht="15.75">
      <c r="C98" s="66"/>
      <c r="D98" s="66"/>
      <c r="E98" s="66"/>
      <c r="F98" s="66"/>
      <c r="G98" s="66"/>
      <c r="H98" s="66"/>
      <c r="I98" s="66"/>
      <c r="J98" s="66"/>
      <c r="K98" s="66"/>
      <c r="L98" s="66"/>
    </row>
    <row r="99" spans="3:12" ht="15.75">
      <c r="C99" s="66"/>
      <c r="D99" s="66"/>
      <c r="E99" s="66"/>
      <c r="F99" s="66"/>
      <c r="G99" s="66"/>
      <c r="H99" s="66"/>
      <c r="I99" s="66"/>
      <c r="J99" s="66"/>
      <c r="K99" s="66"/>
      <c r="L99" s="66"/>
    </row>
    <row r="100" spans="3:12" ht="15.75">
      <c r="C100" s="66"/>
      <c r="D100" s="66"/>
      <c r="E100" s="66"/>
      <c r="F100" s="66"/>
      <c r="G100" s="66"/>
      <c r="H100" s="66"/>
      <c r="I100" s="66"/>
      <c r="J100" s="66"/>
      <c r="K100" s="66"/>
      <c r="L100" s="66"/>
    </row>
    <row r="101" spans="3:12" ht="15.75">
      <c r="C101" s="66"/>
      <c r="D101" s="66"/>
      <c r="E101" s="66"/>
      <c r="F101" s="66"/>
      <c r="G101" s="66"/>
      <c r="H101" s="66"/>
      <c r="I101" s="66"/>
      <c r="J101" s="66"/>
      <c r="K101" s="66"/>
      <c r="L101" s="66"/>
    </row>
    <row r="102" spans="3:12" ht="15.75">
      <c r="C102" s="66"/>
      <c r="D102" s="66"/>
      <c r="E102" s="66"/>
      <c r="F102" s="66"/>
      <c r="G102" s="66"/>
      <c r="H102" s="66"/>
      <c r="I102" s="66"/>
      <c r="J102" s="66"/>
      <c r="K102" s="66"/>
      <c r="L102" s="66"/>
    </row>
    <row r="103" spans="3:12" ht="15.75">
      <c r="C103" s="66"/>
      <c r="D103" s="66"/>
      <c r="E103" s="66"/>
      <c r="F103" s="66"/>
      <c r="G103" s="66"/>
      <c r="H103" s="66"/>
      <c r="I103" s="66"/>
      <c r="J103" s="66"/>
      <c r="K103" s="66"/>
      <c r="L103" s="66"/>
    </row>
    <row r="104" spans="3:12" ht="15.75">
      <c r="C104" s="66"/>
      <c r="D104" s="66"/>
      <c r="E104" s="66"/>
      <c r="F104" s="66"/>
      <c r="G104" s="66"/>
      <c r="H104" s="66"/>
      <c r="I104" s="66"/>
      <c r="J104" s="66"/>
      <c r="K104" s="66"/>
      <c r="L104" s="66"/>
    </row>
    <row r="105" spans="3:12" ht="15.75">
      <c r="C105" s="66"/>
      <c r="D105" s="66"/>
      <c r="E105" s="66"/>
      <c r="F105" s="66"/>
      <c r="G105" s="66"/>
      <c r="H105" s="66"/>
      <c r="I105" s="66"/>
      <c r="J105" s="66"/>
      <c r="K105" s="66"/>
      <c r="L105" s="66"/>
    </row>
    <row r="106" spans="3:12" ht="15.75">
      <c r="C106" s="66"/>
      <c r="D106" s="66"/>
      <c r="E106" s="66"/>
      <c r="F106" s="66"/>
      <c r="G106" s="66"/>
      <c r="H106" s="66"/>
      <c r="I106" s="66"/>
      <c r="J106" s="66"/>
      <c r="K106" s="66"/>
      <c r="L106" s="66"/>
    </row>
    <row r="107" spans="3:12" ht="15.75">
      <c r="C107" s="66"/>
      <c r="D107" s="66"/>
      <c r="E107" s="66"/>
      <c r="F107" s="66"/>
      <c r="G107" s="66"/>
      <c r="H107" s="66"/>
      <c r="I107" s="66"/>
      <c r="J107" s="66"/>
      <c r="K107" s="66"/>
      <c r="L107" s="66"/>
    </row>
    <row r="108" spans="3:12" ht="15.75">
      <c r="C108" s="66"/>
      <c r="D108" s="66"/>
      <c r="E108" s="66"/>
      <c r="F108" s="66"/>
      <c r="G108" s="66"/>
      <c r="H108" s="66"/>
      <c r="I108" s="66"/>
      <c r="J108" s="66"/>
      <c r="K108" s="66"/>
      <c r="L108" s="66"/>
    </row>
    <row r="109" spans="3:12" ht="15.75">
      <c r="C109" s="66"/>
      <c r="D109" s="66"/>
      <c r="E109" s="66"/>
      <c r="F109" s="66"/>
      <c r="G109" s="66"/>
      <c r="H109" s="66"/>
      <c r="I109" s="66"/>
      <c r="J109" s="66"/>
      <c r="K109" s="66"/>
      <c r="L109" s="66"/>
    </row>
    <row r="110" spans="3:12" ht="15.75">
      <c r="C110" s="66"/>
      <c r="D110" s="66"/>
      <c r="E110" s="66"/>
      <c r="F110" s="66"/>
      <c r="G110" s="66"/>
      <c r="H110" s="66"/>
      <c r="I110" s="66"/>
      <c r="J110" s="66"/>
      <c r="K110" s="66"/>
      <c r="L110" s="66"/>
    </row>
    <row r="111" spans="3:12" ht="15.75">
      <c r="C111" s="66"/>
      <c r="D111" s="66"/>
      <c r="E111" s="66"/>
      <c r="F111" s="66"/>
      <c r="G111" s="66"/>
      <c r="H111" s="66"/>
      <c r="I111" s="66"/>
      <c r="J111" s="66"/>
      <c r="K111" s="66"/>
      <c r="L111" s="66"/>
    </row>
    <row r="112" spans="3:12" ht="15.75">
      <c r="C112" s="66"/>
      <c r="D112" s="66"/>
      <c r="E112" s="66"/>
      <c r="F112" s="66"/>
      <c r="G112" s="66"/>
      <c r="H112" s="66"/>
      <c r="I112" s="66"/>
      <c r="J112" s="66"/>
      <c r="K112" s="66"/>
      <c r="L112" s="66"/>
    </row>
    <row r="113" spans="3:12" ht="15.75">
      <c r="C113" s="66"/>
      <c r="D113" s="66"/>
      <c r="E113" s="66"/>
      <c r="F113" s="66"/>
      <c r="G113" s="66"/>
      <c r="H113" s="66"/>
      <c r="I113" s="66"/>
      <c r="J113" s="66"/>
      <c r="K113" s="66"/>
      <c r="L113" s="66"/>
    </row>
    <row r="114" spans="3:12" ht="15.75">
      <c r="C114" s="66"/>
      <c r="D114" s="66"/>
      <c r="E114" s="66"/>
      <c r="F114" s="66"/>
      <c r="G114" s="66"/>
      <c r="H114" s="66"/>
      <c r="I114" s="66"/>
      <c r="J114" s="66"/>
      <c r="K114" s="66"/>
      <c r="L114" s="66"/>
    </row>
    <row r="115" spans="3:12" ht="15.75">
      <c r="C115" s="66"/>
      <c r="D115" s="66"/>
      <c r="E115" s="66"/>
      <c r="F115" s="66"/>
      <c r="G115" s="66"/>
      <c r="H115" s="66"/>
      <c r="I115" s="66"/>
      <c r="J115" s="66"/>
      <c r="K115" s="66"/>
      <c r="L115" s="66"/>
    </row>
    <row r="116" spans="3:12" ht="15.75">
      <c r="C116" s="66"/>
      <c r="D116" s="66"/>
      <c r="E116" s="66"/>
      <c r="F116" s="66"/>
      <c r="G116" s="66"/>
      <c r="H116" s="66"/>
      <c r="I116" s="66"/>
      <c r="J116" s="66"/>
      <c r="K116" s="66"/>
      <c r="L116" s="66"/>
    </row>
    <row r="117" spans="3:12" ht="15.75">
      <c r="C117" s="66"/>
      <c r="D117" s="66"/>
      <c r="E117" s="66"/>
      <c r="F117" s="66"/>
      <c r="G117" s="66"/>
      <c r="H117" s="66"/>
      <c r="I117" s="66"/>
      <c r="J117" s="66"/>
      <c r="K117" s="66"/>
      <c r="L117" s="66"/>
    </row>
    <row r="118" spans="3:12" ht="15.75">
      <c r="C118" s="66"/>
      <c r="D118" s="66"/>
      <c r="E118" s="66"/>
      <c r="F118" s="66"/>
      <c r="G118" s="66"/>
      <c r="H118" s="66"/>
      <c r="I118" s="66"/>
      <c r="J118" s="66"/>
      <c r="K118" s="66"/>
      <c r="L118" s="66"/>
    </row>
    <row r="119" spans="3:12" ht="15.75">
      <c r="C119" s="66"/>
      <c r="D119" s="66"/>
      <c r="E119" s="66"/>
      <c r="F119" s="66"/>
      <c r="G119" s="66"/>
      <c r="H119" s="66"/>
      <c r="I119" s="66"/>
      <c r="J119" s="66"/>
      <c r="K119" s="66"/>
      <c r="L119" s="66"/>
    </row>
    <row r="120" spans="3:12" ht="15.75">
      <c r="C120" s="66"/>
      <c r="D120" s="66"/>
      <c r="E120" s="66"/>
      <c r="F120" s="66"/>
      <c r="G120" s="66"/>
      <c r="H120" s="66"/>
      <c r="I120" s="66"/>
      <c r="J120" s="66"/>
      <c r="K120" s="66"/>
      <c r="L120" s="66"/>
    </row>
    <row r="121" spans="3:12" ht="15.75">
      <c r="C121" s="66"/>
      <c r="D121" s="66"/>
      <c r="E121" s="66"/>
      <c r="F121" s="66"/>
      <c r="G121" s="66"/>
      <c r="H121" s="66"/>
      <c r="I121" s="66"/>
      <c r="J121" s="66"/>
      <c r="K121" s="66"/>
      <c r="L121" s="66"/>
    </row>
    <row r="122" spans="3:12" ht="15.75">
      <c r="C122" s="66"/>
      <c r="D122" s="66"/>
      <c r="E122" s="66"/>
      <c r="F122" s="66"/>
      <c r="G122" s="66"/>
      <c r="H122" s="66"/>
      <c r="I122" s="66"/>
      <c r="J122" s="66"/>
      <c r="K122" s="66"/>
      <c r="L122" s="66"/>
    </row>
    <row r="123" spans="3:12" ht="15.75">
      <c r="C123" s="66"/>
      <c r="D123" s="66"/>
      <c r="E123" s="66"/>
      <c r="F123" s="66"/>
      <c r="G123" s="66"/>
      <c r="H123" s="66"/>
      <c r="I123" s="66"/>
      <c r="J123" s="66"/>
      <c r="K123" s="66"/>
      <c r="L123" s="66"/>
    </row>
    <row r="124" spans="3:12" ht="15.75">
      <c r="C124" s="66"/>
      <c r="D124" s="66"/>
      <c r="E124" s="66"/>
      <c r="F124" s="66"/>
      <c r="G124" s="66"/>
      <c r="H124" s="66"/>
      <c r="I124" s="66"/>
      <c r="J124" s="66"/>
      <c r="K124" s="66"/>
      <c r="L124" s="66"/>
    </row>
    <row r="125" spans="3:12" ht="15.75">
      <c r="C125" s="66"/>
      <c r="D125" s="66"/>
      <c r="E125" s="66"/>
      <c r="F125" s="66"/>
      <c r="G125" s="66"/>
      <c r="H125" s="66"/>
      <c r="I125" s="66"/>
      <c r="J125" s="66"/>
      <c r="K125" s="66"/>
      <c r="L125" s="66"/>
    </row>
    <row r="126" spans="3:12" ht="15.75">
      <c r="C126" s="66"/>
      <c r="D126" s="66"/>
      <c r="E126" s="66"/>
      <c r="F126" s="66"/>
      <c r="G126" s="66"/>
      <c r="H126" s="66"/>
      <c r="I126" s="66"/>
      <c r="J126" s="66"/>
      <c r="K126" s="66"/>
      <c r="L126" s="66"/>
    </row>
    <row r="127" spans="3:12" ht="15.75">
      <c r="C127" s="66"/>
      <c r="D127" s="66"/>
      <c r="E127" s="66"/>
      <c r="F127" s="66"/>
      <c r="G127" s="66"/>
      <c r="H127" s="66"/>
      <c r="I127" s="66"/>
      <c r="J127" s="66"/>
      <c r="K127" s="66"/>
      <c r="L127" s="66"/>
    </row>
    <row r="128" spans="3:12" ht="15.75">
      <c r="C128" s="66"/>
      <c r="D128" s="66"/>
      <c r="E128" s="66"/>
      <c r="F128" s="66"/>
      <c r="G128" s="66"/>
      <c r="H128" s="66"/>
      <c r="I128" s="66"/>
      <c r="J128" s="66"/>
      <c r="K128" s="66"/>
      <c r="L128" s="66"/>
    </row>
    <row r="129" spans="3:12" ht="15.75">
      <c r="C129" s="66"/>
      <c r="D129" s="66"/>
      <c r="E129" s="66"/>
      <c r="F129" s="66"/>
      <c r="G129" s="66"/>
      <c r="H129" s="66"/>
      <c r="I129" s="66"/>
      <c r="J129" s="66"/>
      <c r="K129" s="66"/>
      <c r="L129" s="66"/>
    </row>
    <row r="130" spans="3:12" ht="15.75">
      <c r="C130" s="66"/>
      <c r="D130" s="66"/>
      <c r="E130" s="66"/>
      <c r="F130" s="66"/>
      <c r="G130" s="66"/>
      <c r="H130" s="66"/>
      <c r="I130" s="66"/>
      <c r="J130" s="66"/>
      <c r="K130" s="66"/>
      <c r="L130" s="66"/>
    </row>
    <row r="131" spans="3:12" ht="15.75">
      <c r="C131" s="66"/>
      <c r="D131" s="66"/>
      <c r="E131" s="66"/>
      <c r="F131" s="66"/>
      <c r="G131" s="66"/>
      <c r="H131" s="66"/>
      <c r="I131" s="66"/>
      <c r="J131" s="66"/>
      <c r="K131" s="66"/>
      <c r="L131" s="66"/>
    </row>
    <row r="132" spans="3:12" ht="15.75">
      <c r="C132" s="66"/>
      <c r="D132" s="66"/>
      <c r="E132" s="66"/>
      <c r="F132" s="66"/>
      <c r="G132" s="66"/>
      <c r="H132" s="66"/>
      <c r="I132" s="66"/>
      <c r="J132" s="66"/>
      <c r="K132" s="66"/>
      <c r="L132" s="66"/>
    </row>
    <row r="133" spans="3:12" ht="15.75">
      <c r="C133" s="66"/>
      <c r="D133" s="66"/>
      <c r="E133" s="66"/>
      <c r="F133" s="66"/>
      <c r="G133" s="66"/>
      <c r="H133" s="66"/>
      <c r="I133" s="66"/>
      <c r="J133" s="66"/>
      <c r="K133" s="66"/>
      <c r="L133" s="66"/>
    </row>
    <row r="134" spans="3:12" ht="15.75">
      <c r="C134" s="66"/>
      <c r="D134" s="66"/>
      <c r="E134" s="66"/>
      <c r="F134" s="66"/>
      <c r="G134" s="66"/>
      <c r="H134" s="66"/>
      <c r="I134" s="66"/>
      <c r="J134" s="66"/>
      <c r="K134" s="66"/>
      <c r="L134" s="66"/>
    </row>
    <row r="135" spans="3:12" ht="15.75">
      <c r="C135" s="66"/>
      <c r="D135" s="66"/>
      <c r="E135" s="66"/>
      <c r="F135" s="66"/>
      <c r="G135" s="66"/>
      <c r="H135" s="66"/>
      <c r="I135" s="66"/>
      <c r="J135" s="66"/>
      <c r="K135" s="66"/>
      <c r="L135" s="66"/>
    </row>
    <row r="136" spans="3:12" ht="15.75">
      <c r="C136" s="66"/>
      <c r="D136" s="66"/>
      <c r="E136" s="66"/>
      <c r="F136" s="66"/>
      <c r="G136" s="66"/>
      <c r="H136" s="66"/>
      <c r="I136" s="66"/>
      <c r="J136" s="66"/>
      <c r="K136" s="66"/>
      <c r="L136" s="66"/>
    </row>
    <row r="137" spans="3:12" ht="15.75">
      <c r="C137" s="66"/>
      <c r="D137" s="66"/>
      <c r="E137" s="66"/>
      <c r="F137" s="66"/>
      <c r="G137" s="66"/>
      <c r="H137" s="66"/>
      <c r="I137" s="66"/>
      <c r="J137" s="66"/>
      <c r="K137" s="66"/>
      <c r="L137" s="66"/>
    </row>
    <row r="138" spans="3:12" ht="15.75">
      <c r="C138" s="66"/>
      <c r="D138" s="66"/>
      <c r="E138" s="66"/>
      <c r="F138" s="66"/>
      <c r="G138" s="66"/>
      <c r="H138" s="66"/>
      <c r="I138" s="66"/>
      <c r="J138" s="66"/>
      <c r="K138" s="66"/>
      <c r="L138" s="66"/>
    </row>
    <row r="139" spans="3:12" ht="15.75">
      <c r="C139" s="66"/>
      <c r="D139" s="66"/>
      <c r="E139" s="66"/>
      <c r="F139" s="66"/>
      <c r="G139" s="66"/>
      <c r="H139" s="66"/>
      <c r="I139" s="66"/>
      <c r="J139" s="66"/>
      <c r="K139" s="66"/>
      <c r="L139" s="66"/>
    </row>
    <row r="140" spans="3:12" ht="15.75">
      <c r="C140" s="66"/>
      <c r="D140" s="66"/>
      <c r="E140" s="66"/>
      <c r="F140" s="66"/>
      <c r="G140" s="66"/>
      <c r="H140" s="66"/>
      <c r="I140" s="66"/>
      <c r="J140" s="66"/>
      <c r="K140" s="66"/>
      <c r="L140" s="66"/>
    </row>
    <row r="141" spans="3:12" ht="15.75">
      <c r="C141" s="66"/>
      <c r="D141" s="66"/>
      <c r="E141" s="66"/>
      <c r="F141" s="66"/>
      <c r="G141" s="66"/>
      <c r="H141" s="66"/>
      <c r="I141" s="66"/>
      <c r="J141" s="66"/>
      <c r="K141" s="66"/>
      <c r="L141" s="66"/>
    </row>
    <row r="142" spans="3:12" ht="15.75">
      <c r="C142" s="66"/>
      <c r="D142" s="66"/>
      <c r="E142" s="66"/>
      <c r="F142" s="66"/>
      <c r="G142" s="66"/>
      <c r="H142" s="66"/>
      <c r="I142" s="66"/>
      <c r="J142" s="66"/>
      <c r="K142" s="66"/>
      <c r="L142" s="66"/>
    </row>
    <row r="143" spans="3:12" ht="15.75">
      <c r="C143" s="66"/>
      <c r="D143" s="66"/>
      <c r="E143" s="66"/>
      <c r="F143" s="66"/>
      <c r="G143" s="66"/>
      <c r="H143" s="66"/>
      <c r="I143" s="66"/>
      <c r="J143" s="66"/>
      <c r="K143" s="66"/>
      <c r="L143" s="66"/>
    </row>
    <row r="144" spans="3:12" ht="15.75">
      <c r="C144" s="66"/>
      <c r="D144" s="66"/>
      <c r="E144" s="66"/>
      <c r="F144" s="66"/>
      <c r="G144" s="66"/>
      <c r="H144" s="66"/>
      <c r="I144" s="66"/>
      <c r="J144" s="66"/>
      <c r="K144" s="66"/>
      <c r="L144" s="66"/>
    </row>
    <row r="145" spans="3:12" ht="15.75">
      <c r="C145" s="66"/>
      <c r="D145" s="66"/>
      <c r="E145" s="66"/>
      <c r="F145" s="66"/>
      <c r="G145" s="66"/>
      <c r="H145" s="66"/>
      <c r="I145" s="66"/>
      <c r="J145" s="66"/>
      <c r="K145" s="66"/>
      <c r="L145" s="66"/>
    </row>
    <row r="146" spans="3:12" ht="15.75">
      <c r="C146" s="66"/>
      <c r="D146" s="66"/>
      <c r="E146" s="66"/>
      <c r="F146" s="66"/>
      <c r="G146" s="66"/>
      <c r="H146" s="66"/>
      <c r="I146" s="66"/>
      <c r="J146" s="66"/>
      <c r="K146" s="66"/>
      <c r="L146" s="66"/>
    </row>
    <row r="147" spans="3:12" ht="15.75">
      <c r="C147" s="66"/>
      <c r="D147" s="66"/>
      <c r="E147" s="66"/>
      <c r="F147" s="66"/>
      <c r="G147" s="66"/>
      <c r="H147" s="66"/>
      <c r="I147" s="66"/>
      <c r="J147" s="66"/>
      <c r="K147" s="66"/>
      <c r="L147" s="66"/>
    </row>
    <row r="148" spans="3:12" ht="15.75">
      <c r="C148" s="66"/>
      <c r="D148" s="66"/>
      <c r="E148" s="66"/>
      <c r="F148" s="66"/>
      <c r="G148" s="66"/>
      <c r="H148" s="66"/>
      <c r="I148" s="66"/>
      <c r="J148" s="66"/>
      <c r="K148" s="66"/>
      <c r="L148" s="66"/>
    </row>
    <row r="149" spans="3:12" ht="15.75">
      <c r="C149" s="66"/>
      <c r="D149" s="66"/>
      <c r="E149" s="66"/>
      <c r="F149" s="66"/>
      <c r="G149" s="66"/>
      <c r="H149" s="66"/>
      <c r="I149" s="66"/>
      <c r="J149" s="66"/>
      <c r="K149" s="66"/>
      <c r="L149" s="66"/>
    </row>
    <row r="150" spans="3:12" ht="15.75">
      <c r="C150" s="66"/>
      <c r="D150" s="66"/>
      <c r="E150" s="66"/>
      <c r="F150" s="66"/>
      <c r="G150" s="66"/>
      <c r="H150" s="66"/>
      <c r="I150" s="66"/>
      <c r="J150" s="66"/>
      <c r="K150" s="66"/>
      <c r="L150" s="66"/>
    </row>
    <row r="151" spans="3:12" ht="15.75">
      <c r="C151" s="66"/>
      <c r="D151" s="66"/>
      <c r="E151" s="66"/>
      <c r="F151" s="66"/>
      <c r="G151" s="66"/>
      <c r="H151" s="66"/>
      <c r="I151" s="66"/>
      <c r="J151" s="66"/>
      <c r="K151" s="66"/>
      <c r="L151" s="66"/>
    </row>
    <row r="152" spans="3:12" ht="15.75">
      <c r="C152" s="66"/>
      <c r="D152" s="66"/>
      <c r="E152" s="66"/>
      <c r="F152" s="66"/>
      <c r="G152" s="66"/>
      <c r="H152" s="66"/>
      <c r="I152" s="66"/>
      <c r="J152" s="66"/>
      <c r="K152" s="66"/>
      <c r="L152" s="66"/>
    </row>
    <row r="153" spans="3:12" ht="15.75">
      <c r="C153" s="66"/>
      <c r="D153" s="66"/>
      <c r="E153" s="66"/>
      <c r="F153" s="66"/>
      <c r="G153" s="66"/>
      <c r="H153" s="66"/>
      <c r="I153" s="66"/>
      <c r="J153" s="66"/>
      <c r="K153" s="66"/>
      <c r="L153" s="66"/>
    </row>
    <row r="154" spans="3:12" ht="15.75">
      <c r="C154" s="66"/>
      <c r="D154" s="66"/>
      <c r="E154" s="66"/>
      <c r="F154" s="66"/>
      <c r="G154" s="66"/>
      <c r="H154" s="66"/>
      <c r="I154" s="66"/>
      <c r="J154" s="66"/>
      <c r="K154" s="66"/>
      <c r="L154" s="66"/>
    </row>
    <row r="155" spans="3:12" ht="15.75">
      <c r="C155" s="66"/>
      <c r="D155" s="66"/>
      <c r="E155" s="66"/>
      <c r="F155" s="66"/>
      <c r="G155" s="66"/>
      <c r="H155" s="66"/>
      <c r="I155" s="66"/>
      <c r="J155" s="66"/>
      <c r="K155" s="66"/>
      <c r="L155" s="66"/>
    </row>
    <row r="156" spans="3:12" ht="15.75">
      <c r="C156" s="66"/>
      <c r="D156" s="66"/>
      <c r="E156" s="66"/>
      <c r="F156" s="66"/>
      <c r="G156" s="66"/>
      <c r="H156" s="66"/>
      <c r="I156" s="66"/>
      <c r="J156" s="66"/>
      <c r="K156" s="66"/>
      <c r="L156" s="66"/>
    </row>
    <row r="157" spans="3:12" ht="15.75">
      <c r="C157" s="66"/>
      <c r="D157" s="66"/>
      <c r="E157" s="66"/>
      <c r="F157" s="66"/>
      <c r="G157" s="66"/>
      <c r="H157" s="66"/>
      <c r="I157" s="66"/>
      <c r="J157" s="66"/>
      <c r="K157" s="66"/>
      <c r="L157" s="66"/>
    </row>
    <row r="158" spans="3:12" ht="15.75">
      <c r="C158" s="66"/>
      <c r="D158" s="66"/>
      <c r="E158" s="66"/>
      <c r="F158" s="66"/>
      <c r="G158" s="66"/>
      <c r="H158" s="66"/>
      <c r="I158" s="66"/>
      <c r="J158" s="66"/>
      <c r="K158" s="66"/>
      <c r="L158" s="66"/>
    </row>
    <row r="159" spans="3:12" ht="15.75">
      <c r="C159" s="66"/>
      <c r="D159" s="66"/>
      <c r="E159" s="66"/>
      <c r="F159" s="66"/>
      <c r="G159" s="66"/>
      <c r="H159" s="66"/>
      <c r="I159" s="66"/>
      <c r="J159" s="66"/>
      <c r="K159" s="66"/>
      <c r="L159" s="66"/>
    </row>
    <row r="160" spans="3:12" ht="15.75">
      <c r="C160" s="66"/>
      <c r="D160" s="66"/>
      <c r="E160" s="66"/>
      <c r="F160" s="66"/>
      <c r="G160" s="66"/>
      <c r="H160" s="66"/>
      <c r="I160" s="66"/>
      <c r="J160" s="66"/>
      <c r="K160" s="66"/>
      <c r="L160" s="66"/>
    </row>
    <row r="161" spans="3:12" ht="15.75">
      <c r="C161" s="66"/>
      <c r="D161" s="66"/>
      <c r="E161" s="66"/>
      <c r="F161" s="66"/>
      <c r="G161" s="66"/>
      <c r="H161" s="66"/>
      <c r="I161" s="66"/>
      <c r="J161" s="66"/>
      <c r="K161" s="66"/>
      <c r="L161" s="66"/>
    </row>
    <row r="162" spans="3:12" ht="15.75">
      <c r="C162" s="66"/>
      <c r="D162" s="66"/>
      <c r="E162" s="66"/>
      <c r="F162" s="66"/>
      <c r="G162" s="66"/>
      <c r="H162" s="66"/>
      <c r="I162" s="66"/>
      <c r="J162" s="66"/>
      <c r="K162" s="66"/>
      <c r="L162" s="66"/>
    </row>
    <row r="163" spans="3:12" ht="15.75">
      <c r="C163" s="66"/>
      <c r="D163" s="66"/>
      <c r="E163" s="66"/>
      <c r="F163" s="66"/>
      <c r="G163" s="66"/>
      <c r="H163" s="66"/>
      <c r="I163" s="66"/>
      <c r="J163" s="66"/>
      <c r="K163" s="66"/>
      <c r="L163" s="66"/>
    </row>
    <row r="164" spans="3:12" ht="15.75">
      <c r="C164" s="66"/>
      <c r="D164" s="66"/>
      <c r="E164" s="66"/>
      <c r="F164" s="66"/>
      <c r="G164" s="66"/>
      <c r="H164" s="66"/>
      <c r="I164" s="66"/>
      <c r="J164" s="66"/>
      <c r="K164" s="66"/>
      <c r="L164" s="66"/>
    </row>
    <row r="165" spans="3:12" ht="15.75">
      <c r="C165" s="66"/>
      <c r="D165" s="66"/>
      <c r="E165" s="66"/>
      <c r="F165" s="66"/>
      <c r="G165" s="66"/>
      <c r="H165" s="66"/>
      <c r="I165" s="66"/>
      <c r="J165" s="66"/>
      <c r="K165" s="66"/>
      <c r="L165" s="66"/>
    </row>
    <row r="166" spans="3:12" ht="15.75">
      <c r="C166" s="66"/>
      <c r="D166" s="66"/>
      <c r="E166" s="66"/>
      <c r="F166" s="66"/>
      <c r="G166" s="66"/>
      <c r="H166" s="66"/>
      <c r="I166" s="66"/>
      <c r="J166" s="66"/>
      <c r="K166" s="66"/>
      <c r="L166" s="66"/>
    </row>
    <row r="167" spans="3:12" ht="15.75">
      <c r="C167" s="66"/>
      <c r="D167" s="66"/>
      <c r="E167" s="66"/>
      <c r="F167" s="66"/>
      <c r="G167" s="66"/>
      <c r="H167" s="66"/>
      <c r="I167" s="66"/>
      <c r="J167" s="66"/>
      <c r="K167" s="66"/>
      <c r="L167" s="66"/>
    </row>
    <row r="168" spans="3:12" ht="15.75">
      <c r="C168" s="66"/>
      <c r="D168" s="66"/>
      <c r="E168" s="66"/>
      <c r="F168" s="66"/>
      <c r="G168" s="66"/>
      <c r="H168" s="66"/>
      <c r="I168" s="66"/>
      <c r="J168" s="66"/>
      <c r="K168" s="66"/>
      <c r="L168" s="66"/>
    </row>
    <row r="169" spans="3:12" ht="15.75">
      <c r="C169" s="66"/>
      <c r="D169" s="66"/>
      <c r="E169" s="66"/>
      <c r="F169" s="66"/>
      <c r="G169" s="66"/>
      <c r="H169" s="66"/>
      <c r="I169" s="66"/>
      <c r="J169" s="66"/>
      <c r="K169" s="66"/>
      <c r="L169" s="66"/>
    </row>
    <row r="170" spans="3:12" ht="15.75">
      <c r="C170" s="66"/>
      <c r="D170" s="66"/>
      <c r="E170" s="66"/>
      <c r="F170" s="66"/>
      <c r="G170" s="66"/>
      <c r="H170" s="66"/>
      <c r="I170" s="66"/>
      <c r="J170" s="66"/>
      <c r="K170" s="66"/>
      <c r="L170" s="66"/>
    </row>
    <row r="171" spans="3:12" ht="15.75">
      <c r="C171" s="66"/>
      <c r="D171" s="66"/>
      <c r="E171" s="66"/>
      <c r="F171" s="66"/>
      <c r="G171" s="66"/>
      <c r="H171" s="66"/>
      <c r="I171" s="66"/>
      <c r="J171" s="66"/>
      <c r="K171" s="66"/>
      <c r="L171" s="66"/>
    </row>
    <row r="172" spans="3:12" ht="15.75">
      <c r="C172" s="66"/>
      <c r="D172" s="66"/>
      <c r="E172" s="66"/>
      <c r="F172" s="66"/>
      <c r="G172" s="66"/>
      <c r="H172" s="66"/>
      <c r="I172" s="66"/>
      <c r="J172" s="66"/>
      <c r="K172" s="66"/>
      <c r="L172" s="66"/>
    </row>
    <row r="173" spans="3:12" ht="15.75">
      <c r="C173" s="66"/>
      <c r="D173" s="66"/>
      <c r="E173" s="66"/>
      <c r="F173" s="66"/>
      <c r="G173" s="66"/>
      <c r="H173" s="66"/>
      <c r="I173" s="66"/>
      <c r="J173" s="66"/>
      <c r="K173" s="66"/>
      <c r="L173" s="66"/>
    </row>
    <row r="174" spans="3:12" ht="15.75">
      <c r="C174" s="66"/>
      <c r="D174" s="66"/>
      <c r="E174" s="66"/>
      <c r="F174" s="66"/>
      <c r="G174" s="66"/>
      <c r="H174" s="66"/>
      <c r="I174" s="66"/>
      <c r="J174" s="66"/>
      <c r="K174" s="66"/>
      <c r="L174" s="66"/>
    </row>
    <row r="175" spans="3:12" ht="15.75">
      <c r="C175" s="66"/>
      <c r="D175" s="66"/>
      <c r="E175" s="66"/>
      <c r="F175" s="66"/>
      <c r="G175" s="66"/>
      <c r="H175" s="66"/>
      <c r="I175" s="66"/>
      <c r="J175" s="66"/>
      <c r="K175" s="66"/>
      <c r="L175" s="66"/>
    </row>
    <row r="176" spans="3:12" ht="15.75">
      <c r="C176" s="66"/>
      <c r="D176" s="66"/>
      <c r="E176" s="66"/>
      <c r="F176" s="66"/>
      <c r="G176" s="66"/>
      <c r="H176" s="66"/>
      <c r="I176" s="66"/>
      <c r="J176" s="66"/>
      <c r="K176" s="66"/>
      <c r="L176" s="66"/>
    </row>
    <row r="177" spans="3:12" ht="15.75">
      <c r="C177" s="66"/>
      <c r="D177" s="66"/>
      <c r="E177" s="66"/>
      <c r="F177" s="66"/>
      <c r="G177" s="66"/>
      <c r="H177" s="66"/>
      <c r="I177" s="66"/>
      <c r="J177" s="66"/>
      <c r="K177" s="66"/>
      <c r="L177" s="66"/>
    </row>
    <row r="178" spans="3:12" ht="15.75">
      <c r="C178" s="66"/>
      <c r="D178" s="66"/>
      <c r="E178" s="66"/>
      <c r="F178" s="66"/>
      <c r="G178" s="66"/>
      <c r="H178" s="66"/>
      <c r="I178" s="66"/>
      <c r="J178" s="66"/>
      <c r="K178" s="66"/>
      <c r="L178" s="66"/>
    </row>
    <row r="179" spans="3:12" ht="15.75">
      <c r="C179" s="66"/>
      <c r="D179" s="66"/>
      <c r="E179" s="66"/>
      <c r="F179" s="66"/>
      <c r="G179" s="66"/>
      <c r="H179" s="66"/>
      <c r="I179" s="66"/>
      <c r="J179" s="66"/>
      <c r="K179" s="66"/>
      <c r="L179" s="66"/>
    </row>
    <row r="180" spans="3:12" ht="15.75">
      <c r="C180" s="66"/>
      <c r="D180" s="66"/>
      <c r="E180" s="66"/>
      <c r="F180" s="66"/>
      <c r="G180" s="66"/>
      <c r="H180" s="66"/>
      <c r="I180" s="66"/>
      <c r="J180" s="66"/>
      <c r="K180" s="66"/>
      <c r="L180" s="66"/>
    </row>
    <row r="181" spans="3:12" ht="15.75">
      <c r="C181" s="66"/>
      <c r="D181" s="66"/>
      <c r="E181" s="66"/>
      <c r="F181" s="66"/>
      <c r="G181" s="66"/>
      <c r="H181" s="66"/>
      <c r="I181" s="66"/>
      <c r="J181" s="66"/>
      <c r="K181" s="66"/>
      <c r="L181" s="66"/>
    </row>
    <row r="182" spans="3:12" ht="15.75">
      <c r="C182" s="66"/>
      <c r="D182" s="66"/>
      <c r="E182" s="66"/>
      <c r="F182" s="66"/>
      <c r="G182" s="66"/>
      <c r="H182" s="66"/>
      <c r="I182" s="66"/>
      <c r="J182" s="66"/>
      <c r="K182" s="66"/>
      <c r="L182" s="66"/>
    </row>
    <row r="183" spans="3:12" ht="15.75">
      <c r="C183" s="66"/>
      <c r="D183" s="66"/>
      <c r="E183" s="66"/>
      <c r="F183" s="66"/>
      <c r="G183" s="66"/>
      <c r="H183" s="66"/>
      <c r="I183" s="66"/>
      <c r="J183" s="66"/>
      <c r="K183" s="66"/>
      <c r="L183" s="66"/>
    </row>
    <row r="184" spans="3:12" ht="15.75">
      <c r="C184" s="66"/>
      <c r="D184" s="66"/>
      <c r="E184" s="66"/>
      <c r="F184" s="66"/>
      <c r="G184" s="66"/>
      <c r="H184" s="66"/>
      <c r="I184" s="66"/>
      <c r="J184" s="66"/>
      <c r="K184" s="66"/>
      <c r="L184" s="66"/>
    </row>
    <row r="185" spans="3:12" ht="15.75">
      <c r="C185" s="66"/>
      <c r="D185" s="66"/>
      <c r="E185" s="66"/>
      <c r="F185" s="66"/>
      <c r="G185" s="66"/>
      <c r="H185" s="66"/>
      <c r="I185" s="66"/>
      <c r="J185" s="66"/>
      <c r="K185" s="66"/>
      <c r="L185" s="66"/>
    </row>
    <row r="186" spans="3:12" ht="15.75">
      <c r="C186" s="66"/>
      <c r="D186" s="66"/>
      <c r="E186" s="66"/>
      <c r="F186" s="66"/>
      <c r="G186" s="66"/>
      <c r="H186" s="66"/>
      <c r="I186" s="66"/>
      <c r="J186" s="66"/>
      <c r="K186" s="66"/>
      <c r="L186" s="66"/>
    </row>
    <row r="187" spans="3:12" ht="15.75">
      <c r="C187" s="66"/>
      <c r="D187" s="66"/>
      <c r="E187" s="66"/>
      <c r="F187" s="66"/>
      <c r="G187" s="66"/>
      <c r="H187" s="66"/>
      <c r="I187" s="66"/>
      <c r="J187" s="66"/>
      <c r="K187" s="66"/>
      <c r="L187" s="66"/>
    </row>
    <row r="188" spans="3:12" ht="15.75">
      <c r="C188" s="66"/>
      <c r="D188" s="66"/>
      <c r="E188" s="66"/>
      <c r="F188" s="66"/>
      <c r="G188" s="66"/>
      <c r="H188" s="66"/>
      <c r="I188" s="66"/>
      <c r="J188" s="66"/>
      <c r="K188" s="66"/>
      <c r="L188" s="66"/>
    </row>
    <row r="189" spans="3:12" ht="15.75">
      <c r="C189" s="66"/>
      <c r="D189" s="66"/>
      <c r="E189" s="66"/>
      <c r="F189" s="66"/>
      <c r="G189" s="66"/>
      <c r="H189" s="66"/>
      <c r="I189" s="66"/>
      <c r="J189" s="66"/>
      <c r="K189" s="66"/>
      <c r="L189" s="66"/>
    </row>
    <row r="190" spans="3:12" ht="15.75">
      <c r="C190" s="66"/>
      <c r="D190" s="66"/>
      <c r="E190" s="66"/>
      <c r="F190" s="66"/>
      <c r="G190" s="66"/>
      <c r="H190" s="66"/>
      <c r="I190" s="66"/>
      <c r="J190" s="66"/>
      <c r="K190" s="66"/>
      <c r="L190" s="66"/>
    </row>
    <row r="191" spans="3:12" ht="15.75">
      <c r="C191" s="66"/>
      <c r="D191" s="66"/>
      <c r="E191" s="66"/>
      <c r="F191" s="66"/>
      <c r="G191" s="66"/>
      <c r="H191" s="66"/>
      <c r="I191" s="66"/>
      <c r="J191" s="66"/>
      <c r="K191" s="66"/>
      <c r="L191" s="66"/>
    </row>
    <row r="192" spans="3:12" ht="15.75">
      <c r="C192" s="66"/>
      <c r="D192" s="66"/>
      <c r="E192" s="66"/>
      <c r="F192" s="66"/>
      <c r="G192" s="66"/>
      <c r="H192" s="66"/>
      <c r="I192" s="66"/>
      <c r="J192" s="66"/>
      <c r="K192" s="66"/>
      <c r="L192" s="66"/>
    </row>
    <row r="193" spans="3:12" ht="15.75">
      <c r="C193" s="66"/>
      <c r="D193" s="66"/>
      <c r="E193" s="66"/>
      <c r="F193" s="66"/>
      <c r="G193" s="66"/>
      <c r="H193" s="66"/>
      <c r="I193" s="66"/>
      <c r="J193" s="66"/>
      <c r="K193" s="66"/>
      <c r="L193" s="66"/>
    </row>
    <row r="194" spans="3:12" ht="15.75">
      <c r="C194" s="66"/>
      <c r="D194" s="66"/>
      <c r="E194" s="66"/>
      <c r="F194" s="66"/>
      <c r="G194" s="66"/>
      <c r="H194" s="66"/>
      <c r="I194" s="66"/>
      <c r="J194" s="66"/>
      <c r="K194" s="66"/>
      <c r="L194" s="66"/>
    </row>
    <row r="195" spans="3:12" ht="15.75">
      <c r="C195" s="66"/>
      <c r="D195" s="66"/>
      <c r="E195" s="66"/>
      <c r="F195" s="66"/>
      <c r="G195" s="66"/>
      <c r="H195" s="66"/>
      <c r="I195" s="66"/>
      <c r="J195" s="66"/>
      <c r="K195" s="66"/>
      <c r="L195" s="66"/>
    </row>
    <row r="196" spans="3:12" ht="15.75">
      <c r="C196" s="66"/>
      <c r="D196" s="66"/>
      <c r="E196" s="66"/>
      <c r="F196" s="66"/>
      <c r="G196" s="66"/>
      <c r="H196" s="66"/>
      <c r="I196" s="66"/>
      <c r="J196" s="66"/>
      <c r="K196" s="66"/>
      <c r="L196" s="66"/>
    </row>
    <row r="197" spans="3:12" ht="15.75">
      <c r="C197" s="66"/>
      <c r="D197" s="66"/>
      <c r="E197" s="66"/>
      <c r="F197" s="66"/>
      <c r="G197" s="66"/>
      <c r="H197" s="66"/>
      <c r="I197" s="66"/>
      <c r="J197" s="66"/>
      <c r="K197" s="66"/>
      <c r="L197" s="66"/>
    </row>
    <row r="198" spans="3:12" ht="15.75">
      <c r="C198" s="66"/>
      <c r="D198" s="66"/>
      <c r="E198" s="66"/>
      <c r="F198" s="66"/>
      <c r="G198" s="66"/>
      <c r="H198" s="66"/>
      <c r="I198" s="66"/>
      <c r="J198" s="66"/>
      <c r="K198" s="66"/>
      <c r="L198" s="66"/>
    </row>
    <row r="199" spans="3:12" ht="15.75">
      <c r="C199" s="66"/>
      <c r="D199" s="66"/>
      <c r="E199" s="66"/>
      <c r="F199" s="66"/>
      <c r="G199" s="66"/>
      <c r="H199" s="66"/>
      <c r="I199" s="66"/>
      <c r="J199" s="66"/>
      <c r="K199" s="66"/>
      <c r="L199" s="66"/>
    </row>
    <row r="200" spans="3:12" ht="15.75">
      <c r="C200" s="66"/>
      <c r="D200" s="66"/>
      <c r="E200" s="66"/>
      <c r="F200" s="66"/>
      <c r="G200" s="66"/>
      <c r="H200" s="66"/>
      <c r="I200" s="66"/>
      <c r="J200" s="66"/>
      <c r="K200" s="66"/>
      <c r="L200" s="66"/>
    </row>
    <row r="201" spans="3:12" ht="15.75">
      <c r="C201" s="66"/>
      <c r="D201" s="66"/>
      <c r="E201" s="66"/>
      <c r="F201" s="66"/>
      <c r="G201" s="66"/>
      <c r="H201" s="66"/>
      <c r="I201" s="66"/>
      <c r="J201" s="66"/>
      <c r="K201" s="66"/>
      <c r="L201" s="66"/>
    </row>
    <row r="202" spans="3:12" ht="15.75">
      <c r="C202" s="66"/>
      <c r="D202" s="66"/>
      <c r="E202" s="66"/>
      <c r="F202" s="66"/>
      <c r="G202" s="66"/>
      <c r="H202" s="66"/>
      <c r="I202" s="66"/>
      <c r="J202" s="66"/>
      <c r="K202" s="66"/>
      <c r="L202" s="66"/>
    </row>
    <row r="203" spans="3:12" ht="15.75">
      <c r="C203" s="66"/>
      <c r="D203" s="66"/>
      <c r="E203" s="66"/>
      <c r="F203" s="66"/>
      <c r="G203" s="66"/>
      <c r="H203" s="66"/>
      <c r="I203" s="66"/>
      <c r="J203" s="66"/>
      <c r="K203" s="66"/>
      <c r="L203" s="66"/>
    </row>
    <row r="204" spans="3:12" ht="15.75">
      <c r="C204" s="66"/>
      <c r="D204" s="66"/>
      <c r="E204" s="66"/>
      <c r="F204" s="66"/>
      <c r="G204" s="66"/>
      <c r="H204" s="66"/>
      <c r="I204" s="66"/>
      <c r="J204" s="66"/>
      <c r="K204" s="66"/>
      <c r="L204" s="66"/>
    </row>
    <row r="205" spans="3:12" ht="15.75">
      <c r="C205" s="66"/>
      <c r="D205" s="66"/>
      <c r="E205" s="66"/>
      <c r="F205" s="66"/>
      <c r="G205" s="66"/>
      <c r="H205" s="66"/>
      <c r="I205" s="66"/>
      <c r="J205" s="66"/>
      <c r="K205" s="66"/>
      <c r="L205" s="66"/>
    </row>
    <row r="206" spans="3:12" ht="15.75">
      <c r="C206" s="66"/>
      <c r="D206" s="66"/>
      <c r="E206" s="66"/>
      <c r="F206" s="66"/>
      <c r="G206" s="66"/>
      <c r="H206" s="66"/>
      <c r="I206" s="66"/>
      <c r="J206" s="66"/>
      <c r="K206" s="66"/>
      <c r="L206" s="66"/>
    </row>
    <row r="207" spans="3:12" ht="15.75">
      <c r="C207" s="66"/>
      <c r="D207" s="66"/>
      <c r="E207" s="66"/>
      <c r="F207" s="66"/>
      <c r="G207" s="66"/>
      <c r="H207" s="66"/>
      <c r="I207" s="66"/>
      <c r="J207" s="66"/>
      <c r="K207" s="66"/>
      <c r="L207" s="66"/>
    </row>
    <row r="208" spans="3:12" ht="15.75">
      <c r="C208" s="66"/>
      <c r="D208" s="66"/>
      <c r="E208" s="66"/>
      <c r="F208" s="66"/>
      <c r="G208" s="66"/>
      <c r="H208" s="66"/>
      <c r="I208" s="66"/>
      <c r="J208" s="66"/>
      <c r="K208" s="66"/>
      <c r="L208" s="66"/>
    </row>
    <row r="209" spans="3:12" ht="15.75">
      <c r="C209" s="66"/>
      <c r="D209" s="66"/>
      <c r="E209" s="66"/>
      <c r="F209" s="66"/>
      <c r="G209" s="66"/>
      <c r="H209" s="66"/>
      <c r="I209" s="66"/>
      <c r="J209" s="66"/>
      <c r="K209" s="66"/>
      <c r="L209" s="66"/>
    </row>
    <row r="210" spans="3:12" ht="15.75">
      <c r="C210" s="66"/>
      <c r="D210" s="66"/>
      <c r="E210" s="66"/>
      <c r="F210" s="66"/>
      <c r="G210" s="66"/>
      <c r="H210" s="66"/>
      <c r="I210" s="66"/>
      <c r="J210" s="66"/>
      <c r="K210" s="66"/>
      <c r="L210" s="66"/>
    </row>
    <row r="211" spans="3:12" ht="15.75">
      <c r="C211" s="66"/>
      <c r="D211" s="66"/>
      <c r="E211" s="66"/>
      <c r="F211" s="66"/>
      <c r="G211" s="66"/>
      <c r="H211" s="66"/>
      <c r="I211" s="66"/>
      <c r="J211" s="66"/>
      <c r="K211" s="66"/>
      <c r="L211" s="66"/>
    </row>
    <row r="212" spans="3:12" ht="15.75">
      <c r="C212" s="66"/>
      <c r="D212" s="66"/>
      <c r="E212" s="66"/>
      <c r="F212" s="66"/>
      <c r="G212" s="66"/>
      <c r="H212" s="66"/>
      <c r="I212" s="66"/>
      <c r="J212" s="66"/>
      <c r="K212" s="66"/>
      <c r="L212" s="66"/>
    </row>
    <row r="213" spans="3:12" ht="15.75">
      <c r="C213" s="66"/>
      <c r="D213" s="66"/>
      <c r="E213" s="66"/>
      <c r="F213" s="66"/>
      <c r="G213" s="66"/>
      <c r="H213" s="66"/>
      <c r="I213" s="66"/>
      <c r="J213" s="66"/>
      <c r="K213" s="66"/>
      <c r="L213" s="66"/>
    </row>
    <row r="214" spans="3:12" ht="15.75">
      <c r="C214" s="66"/>
      <c r="D214" s="66"/>
      <c r="E214" s="66"/>
      <c r="F214" s="66"/>
      <c r="G214" s="66"/>
      <c r="H214" s="66"/>
      <c r="I214" s="66"/>
      <c r="J214" s="66"/>
      <c r="K214" s="66"/>
      <c r="L214" s="66"/>
    </row>
    <row r="215" spans="3:12" ht="15.75">
      <c r="C215" s="66"/>
      <c r="D215" s="66"/>
      <c r="E215" s="66"/>
      <c r="F215" s="66"/>
      <c r="G215" s="66"/>
      <c r="H215" s="66"/>
      <c r="I215" s="66"/>
      <c r="J215" s="66"/>
      <c r="K215" s="66"/>
      <c r="L215" s="66"/>
    </row>
    <row r="216" spans="3:12" ht="15.75">
      <c r="C216" s="66"/>
      <c r="D216" s="66"/>
      <c r="E216" s="66"/>
      <c r="F216" s="66"/>
      <c r="G216" s="66"/>
      <c r="H216" s="66"/>
      <c r="I216" s="66"/>
      <c r="J216" s="66"/>
      <c r="K216" s="66"/>
      <c r="L216" s="66"/>
    </row>
    <row r="217" spans="3:12" ht="15.75">
      <c r="C217" s="66"/>
      <c r="D217" s="66"/>
      <c r="E217" s="66"/>
      <c r="F217" s="66"/>
      <c r="G217" s="66"/>
      <c r="H217" s="66"/>
      <c r="I217" s="66"/>
      <c r="J217" s="66"/>
      <c r="K217" s="66"/>
      <c r="L217" s="66"/>
    </row>
    <row r="218" spans="3:12" ht="15.75">
      <c r="C218" s="66"/>
      <c r="D218" s="66"/>
      <c r="E218" s="66"/>
      <c r="F218" s="66"/>
      <c r="G218" s="66"/>
      <c r="H218" s="66"/>
      <c r="I218" s="66"/>
      <c r="J218" s="66"/>
      <c r="K218" s="66"/>
      <c r="L218" s="66"/>
    </row>
    <row r="219" spans="3:12" ht="15.75">
      <c r="C219" s="66"/>
      <c r="D219" s="66"/>
      <c r="E219" s="66"/>
      <c r="F219" s="66"/>
      <c r="G219" s="66"/>
      <c r="H219" s="66"/>
      <c r="I219" s="66"/>
      <c r="J219" s="66"/>
      <c r="K219" s="66"/>
      <c r="L219" s="66"/>
    </row>
    <row r="220" spans="3:12" ht="15.75">
      <c r="C220" s="66"/>
      <c r="D220" s="66"/>
      <c r="E220" s="66"/>
      <c r="F220" s="66"/>
      <c r="G220" s="66"/>
      <c r="H220" s="66"/>
      <c r="I220" s="66"/>
      <c r="J220" s="66"/>
      <c r="K220" s="66"/>
      <c r="L220" s="66"/>
    </row>
    <row r="221" spans="3:12" ht="15.75">
      <c r="C221" s="66"/>
      <c r="D221" s="66"/>
      <c r="E221" s="66"/>
      <c r="F221" s="66"/>
      <c r="G221" s="66"/>
      <c r="H221" s="66"/>
      <c r="I221" s="66"/>
      <c r="J221" s="66"/>
      <c r="K221" s="66"/>
      <c r="L221" s="66"/>
    </row>
    <row r="222" spans="3:12" ht="15.75">
      <c r="C222" s="66"/>
      <c r="D222" s="66"/>
      <c r="E222" s="66"/>
      <c r="F222" s="66"/>
      <c r="G222" s="66"/>
      <c r="H222" s="66"/>
      <c r="I222" s="66"/>
      <c r="J222" s="66"/>
      <c r="K222" s="66"/>
      <c r="L222" s="66"/>
    </row>
    <row r="223" spans="3:12" ht="15.75">
      <c r="C223" s="66"/>
      <c r="D223" s="66"/>
      <c r="E223" s="66"/>
      <c r="F223" s="66"/>
      <c r="G223" s="66"/>
      <c r="H223" s="66"/>
      <c r="I223" s="66"/>
      <c r="J223" s="66"/>
      <c r="K223" s="66"/>
      <c r="L223" s="66"/>
    </row>
    <row r="224" spans="3:12" ht="15.75">
      <c r="C224" s="66"/>
      <c r="D224" s="66"/>
      <c r="E224" s="66"/>
      <c r="F224" s="66"/>
      <c r="G224" s="66"/>
      <c r="H224" s="66"/>
      <c r="I224" s="66"/>
      <c r="J224" s="66"/>
      <c r="K224" s="66"/>
      <c r="L224" s="66"/>
    </row>
    <row r="225" spans="3:12" ht="15.75">
      <c r="C225" s="66"/>
      <c r="D225" s="66"/>
      <c r="E225" s="66"/>
      <c r="F225" s="66"/>
      <c r="G225" s="66"/>
      <c r="H225" s="66"/>
      <c r="I225" s="66"/>
      <c r="J225" s="66"/>
      <c r="K225" s="66"/>
      <c r="L225" s="66"/>
    </row>
    <row r="226" spans="3:12" ht="15.75">
      <c r="C226" s="66"/>
      <c r="D226" s="66"/>
      <c r="E226" s="66"/>
      <c r="F226" s="66"/>
      <c r="G226" s="66"/>
      <c r="H226" s="66"/>
      <c r="I226" s="66"/>
      <c r="J226" s="66"/>
      <c r="K226" s="66"/>
      <c r="L226" s="66"/>
    </row>
    <row r="227" spans="3:12" ht="15.75">
      <c r="C227" s="66"/>
      <c r="D227" s="66"/>
      <c r="E227" s="66"/>
      <c r="F227" s="66"/>
      <c r="G227" s="66"/>
      <c r="H227" s="66"/>
      <c r="I227" s="66"/>
      <c r="J227" s="66"/>
      <c r="K227" s="66"/>
      <c r="L227" s="66"/>
    </row>
    <row r="228" spans="3:12" ht="15.75">
      <c r="C228" s="66"/>
      <c r="D228" s="66"/>
      <c r="E228" s="66"/>
      <c r="F228" s="66"/>
      <c r="G228" s="66"/>
      <c r="H228" s="66"/>
      <c r="I228" s="66"/>
      <c r="J228" s="66"/>
      <c r="K228" s="66"/>
      <c r="L228" s="66"/>
    </row>
    <row r="229" spans="3:12" ht="15.75">
      <c r="C229" s="66"/>
      <c r="D229" s="66"/>
      <c r="E229" s="66"/>
      <c r="F229" s="66"/>
      <c r="G229" s="66"/>
      <c r="H229" s="66"/>
      <c r="I229" s="66"/>
      <c r="J229" s="66"/>
      <c r="K229" s="66"/>
      <c r="L229" s="66"/>
    </row>
    <row r="230" spans="3:12" ht="15.75">
      <c r="C230" s="66"/>
      <c r="D230" s="66"/>
      <c r="E230" s="66"/>
      <c r="F230" s="66"/>
      <c r="G230" s="66"/>
      <c r="H230" s="66"/>
      <c r="I230" s="66"/>
      <c r="J230" s="66"/>
      <c r="K230" s="66"/>
      <c r="L230" s="66"/>
    </row>
    <row r="231" spans="3:12" ht="15.75">
      <c r="C231" s="66"/>
      <c r="D231" s="66"/>
      <c r="E231" s="66"/>
      <c r="F231" s="66"/>
      <c r="G231" s="66"/>
      <c r="H231" s="66"/>
      <c r="I231" s="66"/>
      <c r="J231" s="66"/>
      <c r="K231" s="66"/>
      <c r="L231" s="66"/>
    </row>
    <row r="232" spans="3:12" ht="15.75">
      <c r="C232" s="66"/>
      <c r="D232" s="66"/>
      <c r="E232" s="66"/>
      <c r="F232" s="66"/>
      <c r="G232" s="66"/>
      <c r="H232" s="66"/>
      <c r="I232" s="66"/>
      <c r="J232" s="66"/>
      <c r="K232" s="66"/>
      <c r="L232" s="66"/>
    </row>
    <row r="233" spans="3:12" ht="15.75">
      <c r="C233" s="66"/>
      <c r="D233" s="66"/>
      <c r="E233" s="66"/>
      <c r="F233" s="66"/>
      <c r="G233" s="66"/>
      <c r="H233" s="66"/>
      <c r="I233" s="66"/>
      <c r="J233" s="66"/>
      <c r="K233" s="66"/>
      <c r="L233" s="66"/>
    </row>
    <row r="234" spans="3:12" ht="15.75">
      <c r="C234" s="66"/>
      <c r="D234" s="66"/>
      <c r="E234" s="66"/>
      <c r="F234" s="66"/>
      <c r="G234" s="66"/>
      <c r="H234" s="66"/>
      <c r="I234" s="66"/>
      <c r="J234" s="66"/>
      <c r="K234" s="66"/>
      <c r="L234" s="66"/>
    </row>
    <row r="235" spans="3:12" ht="15.75">
      <c r="C235" s="66"/>
      <c r="D235" s="66"/>
      <c r="E235" s="66"/>
      <c r="F235" s="66"/>
      <c r="G235" s="66"/>
      <c r="H235" s="66"/>
      <c r="I235" s="66"/>
      <c r="J235" s="66"/>
      <c r="K235" s="66"/>
      <c r="L235" s="66"/>
    </row>
    <row r="236" spans="3:12" ht="15.75">
      <c r="C236" s="66"/>
      <c r="D236" s="66"/>
      <c r="E236" s="66"/>
      <c r="F236" s="66"/>
      <c r="G236" s="66"/>
      <c r="H236" s="66"/>
      <c r="I236" s="66"/>
      <c r="J236" s="66"/>
      <c r="K236" s="66"/>
      <c r="L236" s="66"/>
    </row>
    <row r="237" spans="3:12" ht="15.75">
      <c r="C237" s="66"/>
      <c r="D237" s="66"/>
      <c r="E237" s="66"/>
      <c r="F237" s="66"/>
      <c r="G237" s="66"/>
      <c r="H237" s="66"/>
      <c r="I237" s="66"/>
      <c r="J237" s="66"/>
      <c r="K237" s="66"/>
      <c r="L237" s="66"/>
    </row>
    <row r="238" spans="3:12" ht="15.75">
      <c r="C238" s="66"/>
      <c r="D238" s="66"/>
      <c r="E238" s="66"/>
      <c r="F238" s="66"/>
      <c r="G238" s="66"/>
      <c r="H238" s="66"/>
      <c r="I238" s="66"/>
      <c r="J238" s="66"/>
      <c r="K238" s="66"/>
      <c r="L238" s="66"/>
    </row>
    <row r="239" spans="3:12" ht="15.75">
      <c r="C239" s="66"/>
      <c r="D239" s="66"/>
      <c r="E239" s="66"/>
      <c r="F239" s="66"/>
      <c r="G239" s="66"/>
      <c r="H239" s="66"/>
      <c r="I239" s="66"/>
      <c r="J239" s="66"/>
      <c r="K239" s="66"/>
      <c r="L239" s="66"/>
    </row>
    <row r="240" spans="3:12" ht="15.75">
      <c r="C240" s="66"/>
      <c r="D240" s="66"/>
      <c r="E240" s="66"/>
      <c r="F240" s="66"/>
      <c r="G240" s="66"/>
      <c r="H240" s="66"/>
      <c r="I240" s="66"/>
      <c r="J240" s="66"/>
      <c r="K240" s="66"/>
      <c r="L240" s="66"/>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K29"/>
  <sheetViews>
    <sheetView view="pageBreakPreview" zoomScale="70" zoomScaleNormal="65" zoomScaleSheetLayoutView="70" workbookViewId="0" topLeftCell="A1">
      <selection pane="topLeft" activeCell="J11" sqref="J11"/>
    </sheetView>
  </sheetViews>
  <sheetFormatPr defaultColWidth="8.88555555555556" defaultRowHeight="15.75"/>
  <cols>
    <col min="1" max="1" width="5.33333333333333" style="65" bestFit="1" customWidth="1"/>
    <col min="2" max="2" width="15.8888888888889" style="17" customWidth="1"/>
    <col min="3" max="3" width="5.88888888888889" style="241" customWidth="1"/>
    <col min="4" max="4" width="31.8888888888889" style="14" bestFit="1" customWidth="1"/>
    <col min="5" max="5" width="4.88888888888889" style="40" customWidth="1"/>
    <col min="6" max="6" width="18.8888888888889" style="241" customWidth="1"/>
    <col min="7" max="10" width="18.8888888888889" style="14" customWidth="1"/>
    <col min="11" max="11" width="4.88888888888889" style="14" customWidth="1"/>
    <col min="12" max="16384" width="8.88888888888889" style="14"/>
  </cols>
  <sheetData>
    <row r="1" spans="1:11" ht="15.75">
      <c r="A1" s="612"/>
      <c r="B1" s="612"/>
      <c r="C1" s="612"/>
      <c r="D1" s="612"/>
      <c r="K1" s="4" t="s">
        <v>311</v>
      </c>
    </row>
    <row r="2" spans="1:11" ht="15.75">
      <c r="A2" s="612"/>
      <c r="B2" s="612"/>
      <c r="C2" s="612"/>
      <c r="D2" s="612"/>
      <c r="K2" s="4" t="s">
        <v>276</v>
      </c>
    </row>
    <row r="3" spans="1:11" ht="15.75">
      <c r="A3" s="612"/>
      <c r="B3" s="612"/>
      <c r="C3" s="612"/>
      <c r="D3" s="612"/>
      <c r="K3" s="7" t="str">
        <f>'Attachment H-21-A ATSI '!K4</f>
        <v>For the 12 months ended 12/31/2023</v>
      </c>
    </row>
    <row r="5" spans="2:10" ht="15.75">
      <c r="B5" s="827" t="s">
        <v>615</v>
      </c>
      <c r="C5" s="827"/>
      <c r="D5" s="827"/>
      <c r="E5" s="827"/>
      <c r="F5" s="827"/>
      <c r="G5" s="827"/>
      <c r="H5" s="827"/>
      <c r="I5" s="827"/>
      <c r="J5" s="827"/>
    </row>
    <row r="6" spans="2:10" ht="15.75">
      <c r="B6" s="828" t="s">
        <v>313</v>
      </c>
      <c r="C6" s="828"/>
      <c r="D6" s="828"/>
      <c r="E6" s="828"/>
      <c r="F6" s="828"/>
      <c r="G6" s="828"/>
      <c r="H6" s="828"/>
      <c r="I6" s="828"/>
      <c r="J6" s="828"/>
    </row>
    <row r="8" spans="1:10" s="46" customFormat="1" ht="15.75">
      <c r="A8" s="65"/>
      <c r="B8" s="245" t="s">
        <v>364</v>
      </c>
      <c r="C8" s="65" t="s">
        <v>378</v>
      </c>
      <c r="D8" s="46" t="s">
        <v>507</v>
      </c>
      <c r="E8" s="40"/>
      <c r="F8" s="46" t="s">
        <v>548</v>
      </c>
      <c r="G8" s="65" t="s">
        <v>551</v>
      </c>
      <c r="H8" s="46" t="s">
        <v>612</v>
      </c>
      <c r="I8" s="46" t="s">
        <v>613</v>
      </c>
      <c r="J8" s="46" t="s">
        <v>614</v>
      </c>
    </row>
    <row r="9" spans="2:10" s="243" customFormat="1" ht="65.1" customHeight="1">
      <c r="B9" s="243" t="s">
        <v>602</v>
      </c>
      <c r="D9" s="243" t="s">
        <v>603</v>
      </c>
      <c r="E9" s="246"/>
      <c r="F9" s="244" t="s">
        <v>606</v>
      </c>
      <c r="G9" s="243" t="s">
        <v>607</v>
      </c>
      <c r="H9" s="243" t="s">
        <v>608</v>
      </c>
      <c r="I9" s="243" t="s">
        <v>609</v>
      </c>
      <c r="J9" s="243" t="s">
        <v>610</v>
      </c>
    </row>
    <row r="10" spans="5:10" s="243" customFormat="1" ht="15.75">
      <c r="E10" s="246"/>
      <c r="F10" s="244"/>
      <c r="G10" s="494" t="s">
        <v>648</v>
      </c>
      <c r="H10" s="494" t="s">
        <v>649</v>
      </c>
      <c r="I10" s="494"/>
      <c r="J10" s="494" t="s">
        <v>653</v>
      </c>
    </row>
    <row r="11" spans="1:11" ht="15.75">
      <c r="A11" s="65">
        <v>1</v>
      </c>
      <c r="B11" s="17" t="s">
        <v>333</v>
      </c>
      <c r="C11" s="242">
        <f>'Appendix B-Veg'!C11</f>
        <v>2022</v>
      </c>
      <c r="D11" s="14" t="s">
        <v>604</v>
      </c>
      <c r="F11" s="247">
        <v>97</v>
      </c>
      <c r="G11" s="170"/>
      <c r="H11" s="170"/>
      <c r="I11" s="170"/>
      <c r="J11" s="185">
        <v>25165059.99999997</v>
      </c>
      <c r="K11" s="240"/>
    </row>
    <row r="12" spans="1:10" ht="15.75">
      <c r="A12" s="65">
        <v>2</v>
      </c>
      <c r="B12" s="17" t="s">
        <v>334</v>
      </c>
      <c r="C12" s="242">
        <f>C11+1</f>
        <v>2023</v>
      </c>
      <c r="D12" s="14" t="s">
        <v>636</v>
      </c>
      <c r="F12" s="247">
        <f>F11-1</f>
        <v>96</v>
      </c>
      <c r="G12" s="170">
        <f>J11</f>
        <v>25165059.99999997</v>
      </c>
      <c r="H12" s="170">
        <f>G12/F12</f>
        <v>262136.04166666637</v>
      </c>
      <c r="I12" s="185">
        <v>0</v>
      </c>
      <c r="J12" s="170">
        <f>G12-H12+I12</f>
        <v>24902923.958333302</v>
      </c>
    </row>
    <row r="13" spans="1:10" ht="15.75">
      <c r="A13" s="65">
        <v>3</v>
      </c>
      <c r="B13" s="17" t="s">
        <v>335</v>
      </c>
      <c r="C13" s="242">
        <f>C12</f>
        <v>2023</v>
      </c>
      <c r="D13" s="14" t="s">
        <v>636</v>
      </c>
      <c r="F13" s="247">
        <f t="shared" si="0" ref="F13:F23">F12-1</f>
        <v>95</v>
      </c>
      <c r="G13" s="170">
        <f t="shared" si="1" ref="G13:G22">J12</f>
        <v>24902923.958333302</v>
      </c>
      <c r="H13" s="170">
        <f t="shared" si="2" ref="H13:H23">G13/F13</f>
        <v>262136.04166666634</v>
      </c>
      <c r="I13" s="185">
        <v>0</v>
      </c>
      <c r="J13" s="170">
        <f t="shared" si="3" ref="J13:J23">G13-H13+I13</f>
        <v>24640787.916666634</v>
      </c>
    </row>
    <row r="14" spans="1:10" ht="15.75">
      <c r="A14" s="65">
        <v>4</v>
      </c>
      <c r="B14" s="17" t="s">
        <v>336</v>
      </c>
      <c r="C14" s="242">
        <f t="shared" si="4" ref="C14:C23">C13</f>
        <v>2023</v>
      </c>
      <c r="D14" s="14" t="s">
        <v>636</v>
      </c>
      <c r="F14" s="247">
        <f t="shared" si="0"/>
        <v>94</v>
      </c>
      <c r="G14" s="170">
        <f t="shared" si="1"/>
        <v>24640787.916666634</v>
      </c>
      <c r="H14" s="170">
        <f t="shared" si="2"/>
        <v>262136.04166666634</v>
      </c>
      <c r="I14" s="185">
        <v>0</v>
      </c>
      <c r="J14" s="170">
        <f t="shared" si="3"/>
        <v>24378651.874999966</v>
      </c>
    </row>
    <row r="15" spans="1:10" ht="15.75">
      <c r="A15" s="65">
        <v>5</v>
      </c>
      <c r="B15" s="17" t="s">
        <v>337</v>
      </c>
      <c r="C15" s="242">
        <f t="shared" si="4"/>
        <v>2023</v>
      </c>
      <c r="D15" s="14" t="s">
        <v>636</v>
      </c>
      <c r="F15" s="247">
        <f t="shared" si="0"/>
        <v>93</v>
      </c>
      <c r="G15" s="170">
        <f t="shared" si="1"/>
        <v>24378651.874999966</v>
      </c>
      <c r="H15" s="170">
        <f t="shared" si="2"/>
        <v>262136.04166666631</v>
      </c>
      <c r="I15" s="185">
        <v>0</v>
      </c>
      <c r="J15" s="170">
        <f t="shared" si="3"/>
        <v>24116515.833333299</v>
      </c>
    </row>
    <row r="16" spans="1:10" ht="15.75">
      <c r="A16" s="65">
        <v>6</v>
      </c>
      <c r="B16" s="17" t="s">
        <v>338</v>
      </c>
      <c r="C16" s="242">
        <f t="shared" si="4"/>
        <v>2023</v>
      </c>
      <c r="D16" s="14" t="s">
        <v>636</v>
      </c>
      <c r="F16" s="247">
        <f t="shared" si="0"/>
        <v>92</v>
      </c>
      <c r="G16" s="170">
        <f t="shared" si="1"/>
        <v>24116515.833333299</v>
      </c>
      <c r="H16" s="170">
        <f t="shared" si="2"/>
        <v>262136.04166666628</v>
      </c>
      <c r="I16" s="185">
        <v>0</v>
      </c>
      <c r="J16" s="170">
        <f t="shared" si="3"/>
        <v>23854379.791666631</v>
      </c>
    </row>
    <row r="17" spans="1:10" ht="15.75">
      <c r="A17" s="65">
        <v>7</v>
      </c>
      <c r="B17" s="17" t="s">
        <v>354</v>
      </c>
      <c r="C17" s="242">
        <f t="shared" si="4"/>
        <v>2023</v>
      </c>
      <c r="D17" s="14" t="s">
        <v>636</v>
      </c>
      <c r="F17" s="247">
        <f t="shared" si="0"/>
        <v>91</v>
      </c>
      <c r="G17" s="170">
        <f t="shared" si="1"/>
        <v>23854379.791666631</v>
      </c>
      <c r="H17" s="170">
        <f t="shared" si="2"/>
        <v>262136.04166666628</v>
      </c>
      <c r="I17" s="185">
        <v>0</v>
      </c>
      <c r="J17" s="170">
        <f t="shared" si="3"/>
        <v>23592243.749999963</v>
      </c>
    </row>
    <row r="18" spans="1:10" ht="15.75">
      <c r="A18" s="65">
        <v>8</v>
      </c>
      <c r="B18" s="17" t="s">
        <v>339</v>
      </c>
      <c r="C18" s="242">
        <f t="shared" si="4"/>
        <v>2023</v>
      </c>
      <c r="D18" s="14" t="s">
        <v>636</v>
      </c>
      <c r="F18" s="247">
        <f t="shared" si="0"/>
        <v>90</v>
      </c>
      <c r="G18" s="170">
        <f t="shared" si="1"/>
        <v>23592243.749999963</v>
      </c>
      <c r="H18" s="170">
        <f t="shared" si="2"/>
        <v>262136.04166666625</v>
      </c>
      <c r="I18" s="185">
        <v>0</v>
      </c>
      <c r="J18" s="170">
        <f t="shared" si="3"/>
        <v>23330107.708333295</v>
      </c>
    </row>
    <row r="19" spans="1:10" ht="15.75">
      <c r="A19" s="65">
        <v>9</v>
      </c>
      <c r="B19" s="17" t="s">
        <v>340</v>
      </c>
      <c r="C19" s="242">
        <f t="shared" si="4"/>
        <v>2023</v>
      </c>
      <c r="D19" s="14" t="s">
        <v>636</v>
      </c>
      <c r="F19" s="247">
        <f t="shared" si="0"/>
        <v>89</v>
      </c>
      <c r="G19" s="170">
        <f t="shared" si="1"/>
        <v>23330107.708333295</v>
      </c>
      <c r="H19" s="170">
        <f t="shared" si="2"/>
        <v>262136.04166666622</v>
      </c>
      <c r="I19" s="185">
        <v>0</v>
      </c>
      <c r="J19" s="170">
        <f t="shared" si="3"/>
        <v>23067971.666666627</v>
      </c>
    </row>
    <row r="20" spans="1:10" ht="15.75">
      <c r="A20" s="65">
        <v>10</v>
      </c>
      <c r="B20" s="17" t="s">
        <v>341</v>
      </c>
      <c r="C20" s="242">
        <f t="shared" si="4"/>
        <v>2023</v>
      </c>
      <c r="D20" s="14" t="s">
        <v>636</v>
      </c>
      <c r="F20" s="247">
        <f t="shared" si="0"/>
        <v>88</v>
      </c>
      <c r="G20" s="170">
        <f t="shared" si="1"/>
        <v>23067971.666666627</v>
      </c>
      <c r="H20" s="170">
        <f t="shared" si="2"/>
        <v>262136.04166666622</v>
      </c>
      <c r="I20" s="185">
        <v>0</v>
      </c>
      <c r="J20" s="170">
        <f t="shared" si="3"/>
        <v>22805835.624999959</v>
      </c>
    </row>
    <row r="21" spans="1:10" ht="15.75">
      <c r="A21" s="65">
        <v>11</v>
      </c>
      <c r="B21" s="17" t="s">
        <v>343</v>
      </c>
      <c r="C21" s="242">
        <f t="shared" si="4"/>
        <v>2023</v>
      </c>
      <c r="D21" s="14" t="s">
        <v>636</v>
      </c>
      <c r="F21" s="247">
        <f t="shared" si="0"/>
        <v>87</v>
      </c>
      <c r="G21" s="170">
        <f t="shared" si="1"/>
        <v>22805835.624999959</v>
      </c>
      <c r="H21" s="170">
        <f t="shared" si="2"/>
        <v>262136.04166666619</v>
      </c>
      <c r="I21" s="185">
        <v>0</v>
      </c>
      <c r="J21" s="170">
        <f t="shared" si="3"/>
        <v>22543699.583333291</v>
      </c>
    </row>
    <row r="22" spans="1:10" ht="15.75">
      <c r="A22" s="65">
        <v>12</v>
      </c>
      <c r="B22" s="17" t="s">
        <v>342</v>
      </c>
      <c r="C22" s="242">
        <f t="shared" si="4"/>
        <v>2023</v>
      </c>
      <c r="D22" s="14" t="s">
        <v>636</v>
      </c>
      <c r="F22" s="247">
        <f t="shared" si="0"/>
        <v>86</v>
      </c>
      <c r="G22" s="170">
        <f t="shared" si="1"/>
        <v>22543699.583333291</v>
      </c>
      <c r="H22" s="170">
        <f t="shared" si="2"/>
        <v>262136.04166666616</v>
      </c>
      <c r="I22" s="185">
        <v>0</v>
      </c>
      <c r="J22" s="170">
        <f t="shared" si="3"/>
        <v>22281563.541666623</v>
      </c>
    </row>
    <row r="23" spans="1:10" s="255" customFormat="1" ht="16.5" thickBot="1">
      <c r="A23" s="248">
        <v>13</v>
      </c>
      <c r="B23" s="249" t="s">
        <v>333</v>
      </c>
      <c r="C23" s="250">
        <f t="shared" si="4"/>
        <v>2023</v>
      </c>
      <c r="D23" s="255" t="s">
        <v>618</v>
      </c>
      <c r="E23" s="251"/>
      <c r="F23" s="252">
        <f t="shared" si="0"/>
        <v>85</v>
      </c>
      <c r="G23" s="253">
        <f>J22</f>
        <v>22281563.541666623</v>
      </c>
      <c r="H23" s="258">
        <f t="shared" si="2"/>
        <v>262136.04166666616</v>
      </c>
      <c r="I23" s="254">
        <v>0</v>
      </c>
      <c r="J23" s="253">
        <f t="shared" si="3"/>
        <v>22019427.499999955</v>
      </c>
    </row>
    <row r="24" spans="1:10" s="255" customFormat="1" ht="15.75">
      <c r="A24" s="248">
        <v>14</v>
      </c>
      <c r="B24" s="249"/>
      <c r="C24" s="257"/>
      <c r="E24" s="251"/>
      <c r="F24" s="248"/>
      <c r="G24" s="259" t="s">
        <v>616</v>
      </c>
      <c r="H24" s="253">
        <f>SUM(H12:H23)</f>
        <v>3145632.4999999949</v>
      </c>
      <c r="I24" s="763"/>
      <c r="J24" s="764"/>
    </row>
    <row r="25" spans="1:10" ht="15.75">
      <c r="A25" s="65">
        <v>15</v>
      </c>
      <c r="G25" s="40" t="s">
        <v>617</v>
      </c>
      <c r="I25" s="765"/>
      <c r="J25" s="766"/>
    </row>
    <row r="26" spans="1:9" ht="15.75">
      <c r="A26" s="65">
        <v>16</v>
      </c>
      <c r="F26" s="40" t="s">
        <v>620</v>
      </c>
      <c r="G26" s="40" t="s">
        <v>742</v>
      </c>
      <c r="I26" s="765"/>
    </row>
    <row r="28" spans="1:1" ht="15.75">
      <c r="A28" s="76" t="s">
        <v>298</v>
      </c>
    </row>
    <row r="29" spans="1:11" ht="35.45" customHeight="1">
      <c r="A29" s="74" t="s">
        <v>141</v>
      </c>
      <c r="B29" s="829" t="s">
        <v>844</v>
      </c>
      <c r="C29" s="829"/>
      <c r="D29" s="829"/>
      <c r="E29" s="829"/>
      <c r="F29" s="829"/>
      <c r="G29" s="829"/>
      <c r="H29" s="829"/>
      <c r="I29" s="829"/>
      <c r="J29" s="829"/>
      <c r="K29" s="829"/>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3.xml><?xml version="1.0" encoding="utf-8"?>
<ds:datastoreItem xmlns:ds="http://schemas.openxmlformats.org/officeDocument/2006/customXml" ds:itemID="{350BC97A-8A7E-4777-BD4D-D35879A588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22</vt:i4>
      </vt:variant>
    </vt:vector>
  </HeadingPairs>
  <TitlesOfParts>
    <vt:vector size="22"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H-Rev Req True-up Adj</vt:lpstr>
      <vt:lpstr>WP01 Plant</vt:lpstr>
      <vt:lpstr>WP02 Accum Depr</vt:lpstr>
      <vt:lpstr>WP03 ADIT</vt:lpstr>
      <vt:lpstr>WP03-A ADIT Norm</vt:lpstr>
      <vt:lpstr>WP03-B ADIT Detail</vt:lpstr>
      <vt:lpstr>WP04 Other RB</vt:lpstr>
      <vt:lpstr>WP05 Other Tax</vt:lpstr>
      <vt:lpstr>WP06 Cap Structure</vt:lpstr>
      <vt:lpstr>WP07 Stated-value Inputs</vt:lpstr>
      <vt:lpstr>WP08 Tax Rates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2022-10-17T17:09:53Z</cp:lastPrinted>
  <dcterms:created xsi:type="dcterms:W3CDTF">2008-03-20T17:17:42Z</dcterms:created>
  <dcterms:modified xsi:type="dcterms:W3CDTF">2022-10-17T18:52:32Z</dcterms:modified>
  <cp:category/>
</cp:coreProperties>
</file>