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376"/>
  <workbookPr/>
  <bookViews>
    <workbookView xWindow="65524" yWindow="4956" windowWidth="21636" windowHeight="4896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<sst xmlns="http://schemas.openxmlformats.org/spreadsheetml/2006/main" count="91" uniqueCount="54">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</sst>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64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65" fontId="6" fillId="0" borderId="0" xfId="57" applyFont="1" applyAlignment="1" applyProtection="1">
      <alignment horizontal="center"/>
      <protection locked="0"/>
    </xf>
    <xf numFmtId="165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65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65" fontId="6" fillId="0" borderId="12" xfId="57" applyFont="1" applyBorder="1" applyAlignment="1" applyProtection="1">
      <alignment/>
      <protection locked="0"/>
    </xf>
    <xf numFmtId="164" fontId="8" fillId="0" borderId="13" xfId="57" applyNumberFormat="1" applyFont="1" applyBorder="1" applyAlignment="1" applyProtection="1">
      <alignment/>
      <protection locked="0"/>
    </xf>
    <xf numFmtId="164" fontId="6" fillId="0" borderId="14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57" applyNumberFormat="1" applyFont="1" applyFill="1">
      <alignment/>
    </xf>
    <xf numFmtId="166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67" fontId="8" fillId="0" borderId="13" xfId="44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64" fontId="6" fillId="0" borderId="16" xfId="57" applyNumberFormat="1" applyFont="1" applyBorder="1" applyAlignment="1">
      <alignment/>
    </xf>
    <xf numFmtId="16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65" fontId="6" fillId="0" borderId="0" xfId="57" applyFont="1" applyFill="1" applyAlignment="1" applyProtection="1">
      <alignment/>
      <protection locked="0"/>
    </xf>
    <xf numFmtId="165" fontId="11" fillId="0" borderId="11" xfId="57" applyFont="1" applyBorder="1" applyAlignment="1">
      <alignment/>
    </xf>
    <xf numFmtId="170" fontId="6" fillId="0" borderId="0" xfId="57" applyNumberFormat="1" applyFont="1" applyAlignment="1">
      <alignment/>
    </xf>
    <xf numFmtId="165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Fill="1" applyAlignment="1" applyProtection="1">
      <alignment/>
      <protection locked="0"/>
    </xf>
    <xf numFmtId="164" fontId="6" fillId="0" borderId="14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>
      <alignment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16" xfId="42" applyNumberFormat="1" applyFont="1" applyBorder="1" applyAlignment="1" applyProtection="1">
      <alignment/>
      <protection locked="0"/>
    </xf>
    <xf numFmtId="164" fontId="6" fillId="0" borderId="16" xfId="42" applyNumberFormat="1" applyFont="1" applyFill="1" applyBorder="1" applyAlignment="1" applyProtection="1">
      <alignment/>
      <protection locked="0"/>
    </xf>
    <xf numFmtId="164" fontId="6" fillId="0" borderId="16" xfId="42" applyNumberFormat="1" applyFont="1" applyBorder="1" applyAlignment="1">
      <alignment/>
    </xf>
    <xf numFmtId="164" fontId="10" fillId="34" borderId="0" xfId="42" applyNumberFormat="1" applyFont="1" applyFill="1" applyBorder="1" applyAlignment="1" applyProtection="1">
      <alignment/>
      <protection locked="0"/>
    </xf>
    <xf numFmtId="164" fontId="10" fillId="34" borderId="16" xfId="42" applyNumberFormat="1" applyFont="1" applyFill="1" applyBorder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Border="1" applyAlignment="1" applyProtection="1">
      <alignment/>
      <protection locked="0"/>
    </xf>
    <xf numFmtId="164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34" borderId="0" xfId="42" applyNumberFormat="1" applyFont="1" applyFill="1" applyAlignment="1" applyProtection="1">
      <alignment/>
      <protection locked="0"/>
    </xf>
    <xf numFmtId="164" fontId="6" fillId="34" borderId="0" xfId="42" applyNumberFormat="1" applyFont="1" applyFill="1" applyBorder="1" applyAlignment="1" applyProtection="1">
      <alignment/>
      <protection locked="0"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64" fontId="10" fillId="34" borderId="0" xfId="42" applyNumberFormat="1" applyFont="1" applyFill="1" applyAlignment="1" applyProtection="1">
      <alignment/>
      <protection locked="0"/>
    </xf>
    <xf numFmtId="164" fontId="10" fillId="0" borderId="0" xfId="42" applyNumberFormat="1" applyFont="1" applyFill="1" applyAlignment="1" applyProtection="1">
      <alignment/>
      <protection locked="0"/>
    </xf>
    <xf numFmtId="164" fontId="10" fillId="0" borderId="0" xfId="57" applyNumberFormat="1" applyFont="1" applyFill="1" applyAlignment="1">
      <alignment/>
    </xf>
    <xf numFmtId="10" fontId="6" fillId="0" borderId="0" xfId="60" applyNumberFormat="1" applyFont="1" applyBorder="1" applyAlignment="1" applyProtection="1">
      <alignment/>
      <protection locked="0"/>
    </xf>
    <xf numFmtId="166" fontId="10" fillId="34" borderId="0" xfId="42" applyNumberFormat="1" applyFont="1" applyFill="1" applyAlignment="1">
      <alignment/>
    </xf>
    <xf numFmtId="164" fontId="48" fillId="34" borderId="0" xfId="42" applyNumberFormat="1" applyFont="1" applyFill="1" applyBorder="1" applyAlignment="1" applyProtection="1">
      <alignment/>
      <protection locked="0"/>
    </xf>
    <xf numFmtId="164" fontId="48" fillId="34" borderId="0" xfId="42" applyNumberFormat="1" applyFont="1" applyFill="1" applyAlignment="1" applyProtection="1">
      <alignment/>
      <protection locked="0"/>
    </xf>
    <xf numFmtId="164" fontId="48" fillId="0" borderId="0" xfId="42" applyNumberFormat="1" applyFont="1" applyAlignment="1" applyProtection="1">
      <alignment/>
      <protection locked="0"/>
    </xf>
    <xf numFmtId="164" fontId="48" fillId="0" borderId="0" xfId="57" applyNumberFormat="1" applyFont="1" applyAlignment="1">
      <alignment/>
    </xf>
    <xf numFmtId="164" fontId="48" fillId="34" borderId="0" xfId="57" applyNumberFormat="1" applyFont="1" applyFill="1" applyAlignment="1">
      <alignment/>
    </xf>
    <xf numFmtId="164" fontId="48" fillId="0" borderId="0" xfId="57" applyNumberFormat="1" applyFont="1" applyProtection="1">
      <alignment/>
      <protection locked="0"/>
    </xf>
    <xf numFmtId="164" fontId="48" fillId="0" borderId="0" xfId="57" applyNumberFormat="1" applyFont="1" applyFill="1" applyAlignment="1">
      <alignment/>
    </xf>
    <xf numFmtId="164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Appalachian%20Trans%20Company%20FR%20Updat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_IM%20Trans%20Company%20FR%20Updat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_Kentucky%20Trans%20Company%20FR%20Updat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_Ohio%20Trans%20CoFR%20Update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_West%20Virginia%20Trans%20Company%20FR%20Update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9_2015%20TransCo%20NITS%20Attach%20C%20TransCo_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1_2015%20RTEP%20ATRR%20Summary%20Sheet_LINK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Templates\10_2015%20Schedule%201A%20True-up%20Interest%20Calculation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">
        <row r="11">
          <cell r="L11">
            <v>109055.38051775022</v>
          </cell>
        </row>
        <row r="13">
          <cell r="L13">
            <v>0</v>
          </cell>
        </row>
        <row r="20">
          <cell r="L20">
            <v>0</v>
          </cell>
        </row>
        <row r="37">
          <cell r="L37">
            <v>0</v>
          </cell>
        </row>
        <row r="38">
          <cell r="L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">
        <row r="11">
          <cell r="L11">
            <v>97839050.48775795</v>
          </cell>
        </row>
        <row r="13">
          <cell r="L13">
            <v>0</v>
          </cell>
        </row>
        <row r="20">
          <cell r="L20">
            <v>28626879.65551072</v>
          </cell>
        </row>
        <row r="37">
          <cell r="L37">
            <v>52119.060000000005</v>
          </cell>
        </row>
        <row r="38">
          <cell r="L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">
        <row r="11">
          <cell r="L11">
            <v>6831943.513868926</v>
          </cell>
        </row>
        <row r="13">
          <cell r="L13">
            <v>0</v>
          </cell>
        </row>
        <row r="20">
          <cell r="L20">
            <v>3748291.6251236554</v>
          </cell>
        </row>
        <row r="37">
          <cell r="L37">
            <v>0</v>
          </cell>
        </row>
        <row r="38">
          <cell r="L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">
        <row r="11">
          <cell r="L11">
            <v>258167543.90049157</v>
          </cell>
        </row>
        <row r="13">
          <cell r="L13">
            <v>33225</v>
          </cell>
        </row>
        <row r="20">
          <cell r="L20">
            <v>35444205.128474206</v>
          </cell>
        </row>
        <row r="37">
          <cell r="L37">
            <v>232355.38</v>
          </cell>
        </row>
        <row r="38">
          <cell r="L3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">
        <row r="11">
          <cell r="L11">
            <v>56959465.26073837</v>
          </cell>
        </row>
        <row r="13">
          <cell r="L13">
            <v>0</v>
          </cell>
        </row>
        <row r="20">
          <cell r="L20">
            <v>37812665.497071706</v>
          </cell>
        </row>
        <row r="37">
          <cell r="L37">
            <v>24748.940000000002</v>
          </cell>
        </row>
        <row r="38">
          <cell r="L3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Jan-Jun 2015 PJM Zonal Rates"/>
      <sheetName val="Jul-Dec 2015 PJM Zonal Rates"/>
      <sheetName val="2015 True-up Actual Historic"/>
    </sheetNames>
    <sheetDataSet>
      <sheetData sheetId="2">
        <row r="17">
          <cell r="D17">
            <v>205123.34192400874</v>
          </cell>
          <cell r="E17">
            <v>30169833.192402765</v>
          </cell>
          <cell r="F17">
            <v>1818893.973207232</v>
          </cell>
          <cell r="G17">
            <v>135568463.11448303</v>
          </cell>
          <cell r="H17">
            <v>7043536.411235069</v>
          </cell>
        </row>
        <row r="35">
          <cell r="D35">
            <v>113801.78050000001</v>
          </cell>
          <cell r="E35">
            <v>39425738.603</v>
          </cell>
          <cell r="F35">
            <v>1627462.5110000004</v>
          </cell>
          <cell r="G35">
            <v>172424130.0685</v>
          </cell>
          <cell r="H35">
            <v>4641091.1065</v>
          </cell>
        </row>
        <row r="55">
          <cell r="D55">
            <v>-5182.8935676914425</v>
          </cell>
          <cell r="E55">
            <v>525312.6629428474</v>
          </cell>
          <cell r="F55">
            <v>-10864.56340273201</v>
          </cell>
          <cell r="G55">
            <v>2091718.4968185746</v>
          </cell>
          <cell r="H55">
            <v>-136349.1613861995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TCo RTEP ATRR Summary 2016"/>
      <sheetName val="OHTCo RTEP ATRR Summary 2016"/>
      <sheetName val="WVTCo RTEP ATRR Summary 2016"/>
      <sheetName val="KYTCo RTEP ATRR Summary 2016"/>
    </sheetNames>
    <sheetDataSet>
      <sheetData sheetId="0">
        <row r="21">
          <cell r="I21">
            <v>-950997.8151979357</v>
          </cell>
        </row>
      </sheetData>
      <sheetData sheetId="1">
        <row r="21">
          <cell r="I21">
            <v>10977880.353354314</v>
          </cell>
        </row>
      </sheetData>
      <sheetData sheetId="2">
        <row r="21">
          <cell r="I21">
            <v>9216509.586976752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ue-up Interest Calc"/>
      <sheetName val="Prime Rate"/>
      <sheetName val="MWH Summary"/>
      <sheetName val="PTP"/>
      <sheetName val="1st Half 2015 without True-Up"/>
      <sheetName val="2nd Half 2015 without True-Up"/>
      <sheetName val="Actual 2015 Sch 1 Rates"/>
      <sheetName val="S1A True-up vs. Actual"/>
    </sheetNames>
    <sheetDataSet>
      <sheetData sheetId="2">
        <row r="15">
          <cell r="D15">
            <v>130280083.41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tabSelected="1" zoomScale="75" zoomScaleNormal="75" zoomScalePageLayoutView="0" workbookViewId="0" topLeftCell="F29">
      <selection activeCell="O15" sqref="O15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2.710937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6"/>
      <c r="X1" s="64">
        <v>2016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tr">
        <f>"Including Costs through December 31, "&amp;X1-1&amp;""</f>
        <v>Including Costs through December 31, 2015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6" t="str">
        <f>"For charges effective July 1, "&amp;X1&amp;""</f>
        <v>For charges effective July 1, 2016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">
      <c r="A8" s="127" t="s">
        <v>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2.25">
      <c r="B10" s="6"/>
      <c r="C10" s="7"/>
      <c r="D10" s="5"/>
      <c r="E10" s="5"/>
      <c r="F10" s="8"/>
      <c r="G10" s="10"/>
      <c r="H10" s="5"/>
      <c r="I10" s="104" t="s">
        <v>50</v>
      </c>
      <c r="J10" s="101"/>
      <c r="K10" s="102" t="s">
        <v>35</v>
      </c>
      <c r="L10" s="103"/>
      <c r="M10" s="104" t="s">
        <v>38</v>
      </c>
      <c r="N10" s="105"/>
      <c r="O10" s="104" t="s">
        <v>37</v>
      </c>
      <c r="P10" s="105"/>
      <c r="Q10" s="104" t="s">
        <v>33</v>
      </c>
      <c r="R10" s="105"/>
      <c r="S10" s="104" t="s">
        <v>36</v>
      </c>
    </row>
    <row r="11" spans="2:19" ht="15">
      <c r="B11" s="6" t="s">
        <v>0</v>
      </c>
      <c r="C11" s="7"/>
      <c r="D11" s="5"/>
      <c r="E11" s="5"/>
      <c r="F11" s="5"/>
      <c r="G11" s="10"/>
      <c r="H11" s="5"/>
      <c r="I11" s="11" t="s">
        <v>34</v>
      </c>
      <c r="J11" s="5"/>
      <c r="K11" s="12" t="s">
        <v>34</v>
      </c>
      <c r="L11" s="12"/>
      <c r="M11" s="12" t="s">
        <v>34</v>
      </c>
      <c r="O11" s="12" t="s">
        <v>34</v>
      </c>
      <c r="Q11" s="12" t="s">
        <v>34</v>
      </c>
      <c r="S11" s="12" t="s">
        <v>34</v>
      </c>
    </row>
    <row r="12" spans="2:19" ht="15.7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">
      <c r="A15" s="11"/>
      <c r="B15" s="15">
        <v>1</v>
      </c>
      <c r="C15" s="14"/>
      <c r="D15" s="17" t="s">
        <v>5</v>
      </c>
      <c r="E15" s="14"/>
      <c r="F15" s="5"/>
      <c r="G15" s="7" t="s">
        <v>29</v>
      </c>
      <c r="H15" s="5"/>
      <c r="I15" s="75">
        <f>SUM(Q15,K15,S15,O15,M15,)</f>
        <v>419907058.54337454</v>
      </c>
      <c r="J15" s="19"/>
      <c r="K15" s="118">
        <f>'[1]Projected TCOS'!$L$11</f>
        <v>109055.38051775022</v>
      </c>
      <c r="L15" s="119"/>
      <c r="M15" s="118">
        <f>'[2]Projected TCOS'!$L$11</f>
        <v>97839050.48775795</v>
      </c>
      <c r="N15" s="117"/>
      <c r="O15" s="118">
        <f>'[3]Projected TCOS'!$L$11</f>
        <v>6831943.513868926</v>
      </c>
      <c r="P15" s="117"/>
      <c r="Q15" s="118">
        <f>'[4]Projected TCOS'!$L$11</f>
        <v>258167543.90049157</v>
      </c>
      <c r="R15" s="117"/>
      <c r="S15" s="118">
        <f>'[5]Projected TCOS'!$L$11</f>
        <v>56959465.26073837</v>
      </c>
    </row>
    <row r="16" spans="1:21" ht="1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20"/>
      <c r="L16" s="119"/>
      <c r="M16" s="117"/>
      <c r="N16" s="117"/>
      <c r="O16" s="117"/>
      <c r="P16" s="117"/>
      <c r="Q16" s="117"/>
      <c r="R16" s="117"/>
      <c r="S16" s="120"/>
      <c r="U16" s="99"/>
    </row>
    <row r="17" spans="1:19" ht="1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30</v>
      </c>
      <c r="H17" s="5"/>
      <c r="I17" s="75">
        <f>SUM(Q17,K17,S17,O17,M17,)</f>
        <v>33225</v>
      </c>
      <c r="J17" s="19"/>
      <c r="K17" s="118">
        <f>'[1]Projected TCOS'!$L$13</f>
        <v>0</v>
      </c>
      <c r="L17" s="119"/>
      <c r="M17" s="118">
        <f>'[2]Projected TCOS'!$L$13</f>
        <v>0</v>
      </c>
      <c r="N17" s="117"/>
      <c r="O17" s="118">
        <f>'[3]Projected TCOS'!$L$13</f>
        <v>0</v>
      </c>
      <c r="P17" s="117"/>
      <c r="Q17" s="118">
        <f>'[4]Projected TCOS'!$L$13</f>
        <v>33225</v>
      </c>
      <c r="R17" s="117"/>
      <c r="S17" s="118">
        <f>'[5]Projected TCOS'!$L$13</f>
        <v>0</v>
      </c>
    </row>
    <row r="18" spans="1:19" ht="1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22" t="s">
        <v>39</v>
      </c>
      <c r="E19" s="123"/>
      <c r="F19" s="20"/>
      <c r="G19" s="7" t="s">
        <v>31</v>
      </c>
      <c r="H19" s="3"/>
      <c r="I19" s="18">
        <f>SUM(Q19,K19,S19,O19,M19,)</f>
        <v>419873833.54337454</v>
      </c>
      <c r="J19" s="21"/>
      <c r="K19" s="77">
        <f>+K15-K17</f>
        <v>109055.38051775022</v>
      </c>
      <c r="L19" s="21"/>
      <c r="M19" s="21">
        <f>+M15-M17</f>
        <v>97839050.48775795</v>
      </c>
      <c r="N19" s="18"/>
      <c r="O19" s="21">
        <f>+O15-O17</f>
        <v>6831943.513868926</v>
      </c>
      <c r="P19" s="18"/>
      <c r="Q19" s="21">
        <f>+Q15-Q17</f>
        <v>258134318.90049157</v>
      </c>
      <c r="R19" s="18"/>
      <c r="S19" s="77">
        <f>+S15-S17</f>
        <v>56959465.26073837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40</v>
      </c>
      <c r="E22" s="5"/>
      <c r="F22" s="20"/>
      <c r="G22" s="7" t="s">
        <v>32</v>
      </c>
      <c r="H22" s="3"/>
      <c r="I22" s="18">
        <f>SUM(Q22,K22,S22,O22,M22,)</f>
        <v>105632041.90618029</v>
      </c>
      <c r="J22" s="21"/>
      <c r="K22" s="115">
        <f>'[1]Projected TCOS'!$L$20</f>
        <v>0</v>
      </c>
      <c r="L22" s="116"/>
      <c r="M22" s="115">
        <f>'[2]Projected TCOS'!$L$20</f>
        <v>28626879.65551072</v>
      </c>
      <c r="N22" s="117"/>
      <c r="O22" s="118">
        <f>'[3]Projected TCOS'!$L$20</f>
        <v>3748291.6251236554</v>
      </c>
      <c r="P22" s="117"/>
      <c r="Q22" s="118">
        <f>'[4]Projected TCOS'!$L$20</f>
        <v>35444205.128474206</v>
      </c>
      <c r="R22" s="117"/>
      <c r="S22" s="118">
        <f>'[5]Projected TCOS'!$L$20</f>
        <v>37812665.497071706</v>
      </c>
    </row>
    <row r="23" spans="2:19" ht="15">
      <c r="B23" s="42">
        <f>+B22+1</f>
        <v>6</v>
      </c>
      <c r="C23" s="69"/>
      <c r="D23" s="35" t="s">
        <v>41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105632041.90618029</v>
      </c>
      <c r="J24" s="21"/>
      <c r="K24" s="85">
        <f>+K23+K22</f>
        <v>0</v>
      </c>
      <c r="L24" s="84"/>
      <c r="M24" s="84">
        <f>+M23+M22</f>
        <v>28626879.65551072</v>
      </c>
      <c r="N24" s="18"/>
      <c r="O24" s="84">
        <f>+O23+O22</f>
        <v>3748291.6251236554</v>
      </c>
      <c r="P24" s="18"/>
      <c r="Q24" s="84">
        <f>+Q23+Q22</f>
        <v>35444205.128474206</v>
      </c>
      <c r="R24" s="18"/>
      <c r="S24" s="85">
        <f>+S23+S22</f>
        <v>37812665.497071706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42</v>
      </c>
      <c r="E26" s="5"/>
      <c r="G26" s="20" t="str">
        <f>"(Ln "&amp;B19&amp;"- Ln "&amp;B24&amp;")"</f>
        <v>(Ln 3- Ln 7)</v>
      </c>
      <c r="H26" s="3"/>
      <c r="I26" s="18">
        <f>SUM(Q26,K26,S26,O26,M26,)</f>
        <v>314241791.6371943</v>
      </c>
      <c r="J26" s="21"/>
      <c r="K26" s="85">
        <f>+K19-K24</f>
        <v>109055.38051775022</v>
      </c>
      <c r="L26" s="84"/>
      <c r="M26" s="84">
        <f>+M19-M24</f>
        <v>69212170.83224723</v>
      </c>
      <c r="N26" s="18"/>
      <c r="O26" s="84">
        <f>+O19-O24</f>
        <v>3083651.8887452707</v>
      </c>
      <c r="P26" s="18"/>
      <c r="Q26" s="84">
        <f>+Q19-Q24</f>
        <v>222690113.77201736</v>
      </c>
      <c r="R26" s="18"/>
      <c r="S26" s="85">
        <f>+S19-S24</f>
        <v>19146799.763666667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43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6">
        <v>0</v>
      </c>
      <c r="L28" s="84"/>
      <c r="M28" s="95">
        <v>0</v>
      </c>
      <c r="N28" s="18"/>
      <c r="O28" s="95">
        <v>0</v>
      </c>
      <c r="P28" s="18"/>
      <c r="Q28" s="95">
        <v>0</v>
      </c>
      <c r="R28" s="18"/>
      <c r="S28" s="95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5">
      <c r="B30" s="6">
        <f>+B28+1</f>
        <v>10</v>
      </c>
      <c r="C30" s="7"/>
      <c r="D30" s="17" t="s">
        <v>44</v>
      </c>
      <c r="E30" s="5"/>
      <c r="G30" s="20" t="str">
        <f>"(Ln "&amp;B26&amp;" + Ln "&amp;B28&amp;")"</f>
        <v>(Ln 8 + Ln 9)</v>
      </c>
      <c r="H30" s="3"/>
      <c r="I30" s="75">
        <f>+I26+I28</f>
        <v>314241791.6371943</v>
      </c>
      <c r="J30" s="21"/>
      <c r="K30" s="85">
        <f>+K26+K28</f>
        <v>109055.38051775022</v>
      </c>
      <c r="L30" s="84"/>
      <c r="M30" s="84">
        <f>+M26+M28</f>
        <v>69212170.83224723</v>
      </c>
      <c r="N30" s="18"/>
      <c r="O30" s="84">
        <f>+O26+O28</f>
        <v>3083651.8887452707</v>
      </c>
      <c r="P30" s="18"/>
      <c r="Q30" s="84">
        <f>+Q26+Q28</f>
        <v>222690113.77201736</v>
      </c>
      <c r="R30" s="18"/>
      <c r="S30" s="85">
        <f>+S26+S28</f>
        <v>19146799.763666667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tr">
        <f>"BILLED HISTORICAL YEAR ("&amp;X1-1&amp;") ACTUAL ATRR"</f>
        <v>BILLED HISTORICAL YEAR (2015) ACTUAL ATRR</v>
      </c>
      <c r="E32" s="5"/>
      <c r="F32" s="20"/>
      <c r="G32" s="24" t="str">
        <f>"Input from "&amp;X1-1&amp;" True-up"</f>
        <v>Input from 2015 True-up</v>
      </c>
      <c r="H32" s="3"/>
      <c r="I32" s="75">
        <f>SUM(Q32,K32,S32,O32,M32)</f>
        <v>218232224.06950003</v>
      </c>
      <c r="J32" s="21"/>
      <c r="K32" s="89">
        <f>'[6]True-up vs. Actual NITS'!$D$35</f>
        <v>113801.78050000001</v>
      </c>
      <c r="L32" s="84"/>
      <c r="M32" s="114">
        <f>'[6]True-up vs. Actual NITS'!$E$35</f>
        <v>39425738.603</v>
      </c>
      <c r="N32" s="18"/>
      <c r="O32" s="89">
        <f>'[6]True-up vs. Actual NITS'!$F$35</f>
        <v>1627462.5110000004</v>
      </c>
      <c r="P32" s="18"/>
      <c r="Q32" s="89">
        <f>'[6]True-up vs. Actual NITS'!$G$35</f>
        <v>172424130.0685</v>
      </c>
      <c r="R32" s="18"/>
      <c r="S32" s="89">
        <f>'[6]True-up vs. Actual NITS'!$H$35</f>
        <v>4641091.1065</v>
      </c>
    </row>
    <row r="33" spans="2:19" ht="15">
      <c r="B33" s="6">
        <f>+B32+1</f>
        <v>12</v>
      </c>
      <c r="C33" s="7"/>
      <c r="D33" s="17" t="str">
        <f>"BILLED PROJECTED ("&amp;X1-1&amp;") ATRR FROM PRIOR YEAR"</f>
        <v>BILLED PROJECTED (2015) ATRR FROM PRIOR YEAR</v>
      </c>
      <c r="E33" s="5"/>
      <c r="F33" s="20"/>
      <c r="G33" s="24" t="s">
        <v>10</v>
      </c>
      <c r="H33" s="3"/>
      <c r="I33" s="88">
        <f>SUM(Q33,K33,S33,O33,M33,)</f>
        <v>174805850.03325212</v>
      </c>
      <c r="J33" s="21"/>
      <c r="K33" s="90">
        <f>'[6]True-up vs. Actual NITS'!$D$17</f>
        <v>205123.34192400874</v>
      </c>
      <c r="L33" s="84"/>
      <c r="M33" s="90">
        <f>'[6]True-up vs. Actual NITS'!$E$17</f>
        <v>30169833.192402765</v>
      </c>
      <c r="N33" s="18"/>
      <c r="O33" s="90">
        <f>'[6]True-up vs. Actual NITS'!$F$17</f>
        <v>1818893.973207232</v>
      </c>
      <c r="P33" s="18"/>
      <c r="Q33" s="90">
        <f>'[6]True-up vs. Actual NITS'!$G$17</f>
        <v>135568463.11448303</v>
      </c>
      <c r="R33" s="18"/>
      <c r="S33" s="90">
        <f>'[6]True-up vs. Actual NITS'!$H$17</f>
        <v>7043536.411235069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5">
        <f>I32-I33</f>
        <v>43426374.03624791</v>
      </c>
      <c r="J34" s="21"/>
      <c r="K34" s="91">
        <f>K32-K33</f>
        <v>-91321.56142400873</v>
      </c>
      <c r="L34" s="84"/>
      <c r="M34" s="75">
        <f>M32-M33</f>
        <v>9255905.410597235</v>
      </c>
      <c r="N34" s="18"/>
      <c r="O34" s="75">
        <f>O32-O33</f>
        <v>-191431.46220723167</v>
      </c>
      <c r="P34" s="18"/>
      <c r="Q34" s="75">
        <f>Q32-Q33</f>
        <v>36855666.95401698</v>
      </c>
      <c r="R34" s="18"/>
      <c r="S34" s="91">
        <f>S32-S33</f>
        <v>-2402445.304735069</v>
      </c>
    </row>
    <row r="35" spans="5:19" ht="15">
      <c r="E35" s="5"/>
      <c r="F35" s="20"/>
      <c r="G35" s="3"/>
      <c r="H35" s="3"/>
      <c r="I35" s="75"/>
      <c r="J35" s="21"/>
      <c r="K35" s="85"/>
      <c r="L35" s="84"/>
      <c r="M35" s="84"/>
      <c r="N35" s="18"/>
      <c r="O35" s="84"/>
      <c r="P35" s="18"/>
      <c r="Q35" s="84"/>
      <c r="R35" s="18"/>
      <c r="S35" s="85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5">
        <f>SUM(Q36,K36,S36,O36,M36,)</f>
        <v>2464634.541404799</v>
      </c>
      <c r="J36" s="21"/>
      <c r="K36" s="109">
        <f>'[6]True-up vs. Actual NITS'!$D$55</f>
        <v>-5182.8935676914425</v>
      </c>
      <c r="L36" s="110"/>
      <c r="M36" s="109">
        <f>'[6]True-up vs. Actual NITS'!$E$55</f>
        <v>525312.6629428474</v>
      </c>
      <c r="N36" s="111"/>
      <c r="O36" s="109">
        <f>'[6]True-up vs. Actual NITS'!$F$55</f>
        <v>-10864.56340273201</v>
      </c>
      <c r="P36" s="111"/>
      <c r="Q36" s="109">
        <f>'[6]True-up vs. Actual NITS'!$G$55</f>
        <v>2091718.4968185746</v>
      </c>
      <c r="R36" s="111"/>
      <c r="S36" s="109">
        <f>'[6]True-up vs. Actual NITS'!$H$55</f>
        <v>-136349.1613861995</v>
      </c>
    </row>
    <row r="37" spans="5:19" ht="15" thickBot="1">
      <c r="E37" s="5"/>
      <c r="F37" s="20"/>
      <c r="G37" s="3"/>
      <c r="H37" s="3"/>
      <c r="I37" s="75"/>
      <c r="J37" s="21"/>
      <c r="K37" s="85"/>
      <c r="L37" s="92"/>
      <c r="M37" s="84"/>
      <c r="N37" s="18"/>
      <c r="O37" s="84"/>
      <c r="P37" s="18"/>
      <c r="Q37" s="84"/>
      <c r="R37" s="18"/>
      <c r="S37" s="85"/>
    </row>
    <row r="38" spans="2:19" ht="15.75" thickBot="1">
      <c r="B38" s="6">
        <f>+B36+1</f>
        <v>15</v>
      </c>
      <c r="C38" s="7"/>
      <c r="D38" s="26" t="s">
        <v>45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360132800.21484697</v>
      </c>
      <c r="J38" s="21"/>
      <c r="K38" s="78">
        <f>+K30+K34+K36</f>
        <v>12550.925526050049</v>
      </c>
      <c r="L38" s="34"/>
      <c r="M38" s="32">
        <f>+M30+M34+M36</f>
        <v>78993388.9057873</v>
      </c>
      <c r="N38" s="18"/>
      <c r="O38" s="32">
        <f>+O30+O34+O36</f>
        <v>2881355.863135307</v>
      </c>
      <c r="P38" s="18"/>
      <c r="Q38" s="32">
        <f>+Q30+Q34+Q36</f>
        <v>261637499.22285292</v>
      </c>
      <c r="R38" s="18"/>
      <c r="S38" s="78">
        <f>+S30+S34+S36</f>
        <v>16608005.2975454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2" ht="1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""&amp;X1&amp;" AEP East Zone Network Service Peak Load (1 CP)"</f>
        <v>2016 AEP East Zone Network Service Peak Load (1 CP)</v>
      </c>
      <c r="E41" s="5"/>
      <c r="F41" s="20"/>
      <c r="G41" s="24"/>
      <c r="H41" s="3"/>
      <c r="I41" s="66">
        <v>24725.1</v>
      </c>
      <c r="J41" s="3" t="s">
        <v>15</v>
      </c>
      <c r="K41" s="21"/>
      <c r="L41" s="3"/>
      <c r="M41" s="21"/>
      <c r="O41" s="21"/>
      <c r="Q41" s="21"/>
      <c r="S41" s="21"/>
    </row>
    <row r="42" spans="1:21" ht="15">
      <c r="A42" s="37"/>
      <c r="B42" s="38"/>
      <c r="C42" s="39"/>
      <c r="D42" s="108" t="s">
        <v>52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4">
        <f>ROUND(+I38/I41,4)</f>
        <v>14565.474</v>
      </c>
      <c r="J43" s="43"/>
      <c r="K43" s="68"/>
      <c r="L43"/>
      <c r="M43"/>
      <c r="N43"/>
      <c r="O43"/>
      <c r="P43"/>
      <c r="Q43" s="67"/>
      <c r="R43"/>
      <c r="S43" s="68"/>
      <c r="T43"/>
      <c r="U43"/>
    </row>
    <row r="44" spans="1:21" ht="15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"&amp;$B$43&amp;" / 12)"</f>
        <v>(Ln 17 / 12)</v>
      </c>
      <c r="H44" s="43"/>
      <c r="I44" s="74">
        <f>ROUND(+I$43/12,4)</f>
        <v>1213.7895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"&amp;$B$43&amp;" / 52)"</f>
        <v>(Ln 17 / 52)</v>
      </c>
      <c r="H45" s="39"/>
      <c r="I45" s="74">
        <f>ROUND(+I43/52,4)</f>
        <v>280.1053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"&amp;$B$43&amp;" / 260)"</f>
        <v>(Ln 17 / 260)</v>
      </c>
      <c r="H46" s="43"/>
      <c r="I46" s="74">
        <f>ROUND(+I43/260,4)</f>
        <v>56.0211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"&amp;$B$43&amp;" / 365)"</f>
        <v>(Ln 17 / 365)</v>
      </c>
      <c r="H47" s="43"/>
      <c r="I47" s="74">
        <f>ROUND(+I43/365,4)</f>
        <v>39.9054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"&amp;$B$43&amp;" / 4160)"</f>
        <v>(Ln 17 / 4160)</v>
      </c>
      <c r="H48" s="43"/>
      <c r="I48" s="74">
        <f>ROUND(+I43/4160,4)</f>
        <v>3.5013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"&amp;$B$43&amp;" / 8760)"</f>
        <v>(Ln 17 / 8760)</v>
      </c>
      <c r="H49" s="43"/>
      <c r="I49" s="74">
        <f>ROUND(+I43/8760,4)</f>
        <v>1.6627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+B49+1</f>
        <v>24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105632041.90618029</v>
      </c>
      <c r="J52" s="43"/>
      <c r="K52" s="48">
        <f>+K22</f>
        <v>0</v>
      </c>
      <c r="L52" s="43"/>
      <c r="M52" s="48">
        <f>+M22</f>
        <v>28626879.65551072</v>
      </c>
      <c r="N52" s="41"/>
      <c r="O52" s="48">
        <f>+O22</f>
        <v>3748291.6251236554</v>
      </c>
      <c r="P52" s="41"/>
      <c r="Q52" s="48">
        <f>+Q22</f>
        <v>35444205.128474206</v>
      </c>
      <c r="R52" s="41"/>
      <c r="S52" s="48">
        <f>+S22</f>
        <v>37812665.497071706</v>
      </c>
    </row>
    <row r="53" spans="2:19" ht="15">
      <c r="B53" s="46">
        <f>+B52+1</f>
        <v>25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" thickBot="1">
      <c r="B54" s="46">
        <f>+B53+1</f>
        <v>26</v>
      </c>
      <c r="C54" s="43"/>
      <c r="D54" s="1" t="s">
        <v>51</v>
      </c>
      <c r="G54" s="24"/>
      <c r="H54" s="43"/>
      <c r="I54" s="47">
        <f>SUM(K54,M54,O54,Q54,S54)</f>
        <v>19243392.12513313</v>
      </c>
      <c r="J54" s="43"/>
      <c r="K54" s="22">
        <v>0</v>
      </c>
      <c r="L54" s="43"/>
      <c r="M54" s="50">
        <f>'[7]IMTCo RTEP ATRR Summary 2016'!$I$21</f>
        <v>-950997.8151979357</v>
      </c>
      <c r="N54" s="41"/>
      <c r="O54" s="50">
        <v>0</v>
      </c>
      <c r="P54" s="41"/>
      <c r="Q54" s="50">
        <f>'[7]OHTCo RTEP ATRR Summary 2016'!$I$21</f>
        <v>10977880.353354314</v>
      </c>
      <c r="R54" s="41"/>
      <c r="S54" s="50">
        <f>'[7]WVTCo RTEP ATRR Summary 2016'!$I$21</f>
        <v>9216509.586976752</v>
      </c>
      <c r="T54" s="41"/>
      <c r="U54" s="50"/>
      <c r="V54" s="41"/>
      <c r="W54" s="49"/>
    </row>
    <row r="55" spans="2:19" ht="15.75" thickBot="1">
      <c r="B55" s="46">
        <f>+B54+1</f>
        <v>27</v>
      </c>
      <c r="C55" s="43"/>
      <c r="D55" s="72" t="s">
        <v>26</v>
      </c>
      <c r="E55" s="28"/>
      <c r="F55" s="28"/>
      <c r="G55" s="51"/>
      <c r="H55" s="51"/>
      <c r="I55" s="52">
        <f>+I52+I53+I54</f>
        <v>124875434.03131342</v>
      </c>
      <c r="J55" s="43"/>
      <c r="K55" s="53">
        <f>+K52+K53+K54</f>
        <v>0</v>
      </c>
      <c r="L55" s="43"/>
      <c r="M55" s="53">
        <f>+M52+M53+M54</f>
        <v>27675881.840312783</v>
      </c>
      <c r="N55" s="41"/>
      <c r="O55" s="53">
        <f>+O52+O53+O54</f>
        <v>3748291.6251236554</v>
      </c>
      <c r="P55" s="41"/>
      <c r="Q55" s="53">
        <f>+Q52+Q53+Q54</f>
        <v>46422085.48182852</v>
      </c>
      <c r="R55" s="41"/>
      <c r="S55" s="53">
        <f>+S52+S53+S54</f>
        <v>47029175.08404846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D18" sqref="D18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4">
        <v>2016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00"/>
      <c r="U3" s="100"/>
    </row>
    <row r="4" spans="1:18" ht="15">
      <c r="A4" s="125" t="str">
        <f>"Including Costs through December 31, "&amp;S1-1&amp;""</f>
        <v>Including Costs through December 31, 2015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15">
      <c r="A5" s="107" t="str">
        <f>"For charges effective July 1, "&amp;S1&amp;""</f>
        <v>For charges effective July 1, 2016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">
      <c r="A7" s="127" t="s">
        <v>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ht="15">
      <c r="A8" s="9"/>
      <c r="B8" s="6"/>
      <c r="C8" s="7"/>
      <c r="D8" s="5"/>
      <c r="H8" s="5"/>
      <c r="I8" s="5"/>
      <c r="J8" s="5"/>
    </row>
    <row r="9" spans="2:17" ht="62.25">
      <c r="B9" s="6"/>
      <c r="C9" s="7"/>
      <c r="D9" s="5"/>
      <c r="E9" s="5"/>
      <c r="F9" s="8"/>
      <c r="G9" s="104" t="s">
        <v>50</v>
      </c>
      <c r="H9" s="101"/>
      <c r="I9" s="102" t="s">
        <v>35</v>
      </c>
      <c r="J9" s="103"/>
      <c r="K9" s="104" t="s">
        <v>38</v>
      </c>
      <c r="L9" s="105"/>
      <c r="M9" s="104" t="s">
        <v>37</v>
      </c>
      <c r="N9" s="105"/>
      <c r="O9" s="104" t="s">
        <v>33</v>
      </c>
      <c r="P9" s="105"/>
      <c r="Q9" s="104" t="s">
        <v>36</v>
      </c>
    </row>
    <row r="10" spans="2:17" ht="15">
      <c r="B10" s="6" t="s">
        <v>0</v>
      </c>
      <c r="C10" s="7"/>
      <c r="D10" s="5"/>
      <c r="E10" s="5"/>
      <c r="F10" s="5"/>
      <c r="G10" s="11" t="s">
        <v>34</v>
      </c>
      <c r="H10" s="5"/>
      <c r="I10" s="12" t="s">
        <v>34</v>
      </c>
      <c r="J10" s="12"/>
      <c r="K10" s="12" t="s">
        <v>34</v>
      </c>
      <c r="M10" s="12" t="s">
        <v>34</v>
      </c>
      <c r="O10" s="12" t="s">
        <v>34</v>
      </c>
      <c r="Q10" s="12" t="s">
        <v>34</v>
      </c>
    </row>
    <row r="11" spans="2:17" ht="15.7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48</v>
      </c>
      <c r="E15" s="5"/>
      <c r="F15" s="20"/>
      <c r="G15" s="34">
        <f>SUM(I15,K15,M15,O15,Q15,,)</f>
        <v>309223.38</v>
      </c>
      <c r="H15" s="79"/>
      <c r="I15" s="34">
        <f>'[1]Projected TCOS'!$L$37</f>
        <v>0</v>
      </c>
      <c r="J15" s="34"/>
      <c r="K15" s="81">
        <f>'[2]Projected TCOS'!$L$37</f>
        <v>52119.060000000005</v>
      </c>
      <c r="L15" s="18"/>
      <c r="M15" s="81">
        <f>'[3]Projected TCOS'!$L$37</f>
        <v>0</v>
      </c>
      <c r="N15" s="18"/>
      <c r="O15" s="34">
        <f>'[4]Projected TCOS'!$L$37</f>
        <v>232355.38</v>
      </c>
      <c r="P15" s="18"/>
      <c r="Q15" s="34">
        <f>'[5]Projected TCOS'!$L$37</f>
        <v>24748.940000000002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0</v>
      </c>
      <c r="H16" s="79"/>
      <c r="I16" s="34">
        <f>'[1]Projected TCOS'!$L$38</f>
        <v>0</v>
      </c>
      <c r="J16" s="34"/>
      <c r="K16" s="81">
        <f>'[2]Projected TCOS'!$L$38</f>
        <v>0</v>
      </c>
      <c r="L16" s="18"/>
      <c r="M16" s="81">
        <f>'[3]Projected TCOS'!$L$38</f>
        <v>0</v>
      </c>
      <c r="N16" s="18"/>
      <c r="O16" s="34">
        <f>'[4]Projected TCOS'!$L$38</f>
        <v>0</v>
      </c>
      <c r="P16" s="18"/>
      <c r="Q16" s="34">
        <f>'[5]Projected TCOS'!$L$38</f>
        <v>0</v>
      </c>
      <c r="R16" s="18"/>
    </row>
    <row r="17" spans="2:18" ht="1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7">
        <v>0</v>
      </c>
      <c r="N17" s="18"/>
      <c r="O17" s="98">
        <v>0</v>
      </c>
      <c r="P17" s="18"/>
      <c r="Q17" s="98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309223.38</v>
      </c>
      <c r="H18" s="79"/>
      <c r="I18" s="34">
        <f>+I15-I16-I17</f>
        <v>0</v>
      </c>
      <c r="J18" s="34"/>
      <c r="K18" s="81">
        <f>+K15-K16-K17</f>
        <v>52119.060000000005</v>
      </c>
      <c r="L18" s="18"/>
      <c r="M18" s="81">
        <f>+M15-M16-M17</f>
        <v>0</v>
      </c>
      <c r="N18" s="18"/>
      <c r="O18" s="34">
        <f>+O15-O16-O17</f>
        <v>232355.38</v>
      </c>
      <c r="P18" s="18"/>
      <c r="Q18" s="34">
        <f>+Q15-Q16-Q17</f>
        <v>24748.940000000002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5">
        <f>I18-I20</f>
        <v>0</v>
      </c>
      <c r="J22" s="84"/>
      <c r="K22" s="91">
        <v>0</v>
      </c>
      <c r="L22" s="18"/>
      <c r="M22" s="91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(2015)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(2015) ARR FROM PRIOR YEAR</v>
      </c>
      <c r="E25" s="3"/>
      <c r="F25" s="3"/>
      <c r="G25" s="34">
        <f>SUM(I25,K25,M25,O25,Q25,,)</f>
        <v>0</v>
      </c>
      <c r="H25" s="21"/>
      <c r="I25" s="93"/>
      <c r="J25" s="84"/>
      <c r="K25" s="93"/>
      <c r="L25" s="18"/>
      <c r="M25" s="93"/>
      <c r="N25" s="18"/>
      <c r="O25" s="93"/>
      <c r="P25" s="18"/>
      <c r="Q25" s="93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91">
        <f>K24-K25</f>
        <v>0</v>
      </c>
      <c r="L26" s="18"/>
      <c r="M26" s="91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79"/>
      <c r="I30" s="32">
        <f>+I22+I26+I28</f>
        <v>0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">
      <c r="A32" s="11" t="s">
        <v>13</v>
      </c>
      <c r="B32" s="16" t="s">
        <v>27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(2015 Est.) AEP East Zone Annual MWh</v>
      </c>
      <c r="E33" s="7"/>
      <c r="F33" s="20"/>
      <c r="G33" s="113">
        <f>'[8]MWH Summary'!$D$15</f>
        <v>130280083.41</v>
      </c>
      <c r="H33" s="5"/>
      <c r="I33" s="121"/>
      <c r="J33" s="3"/>
      <c r="K33" s="21"/>
    </row>
    <row r="34" spans="2:11" ht="15">
      <c r="B34" s="6"/>
      <c r="C34" s="7"/>
      <c r="D34" s="108" t="s">
        <v>53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28</v>
      </c>
      <c r="E35" s="43" t="str">
        <f>"(Line "&amp;B30&amp;" / Line "&amp;B33&amp;")"</f>
        <v>(Line 11 / Line 12)</v>
      </c>
      <c r="F35" s="43"/>
      <c r="G35" s="73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2016-05-23T14:29:02Z</cp:lastPrinted>
  <dcterms:created xsi:type="dcterms:W3CDTF">2008-07-20T22:34:28Z</dcterms:created>
  <dcterms:modified xsi:type="dcterms:W3CDTF">2016-05-25T14:53:11Z</dcterms:modified>
  <cp:category/>
  <cp:version/>
  <cp:contentType/>
  <cp:contentStatus/>
</cp:coreProperties>
</file>