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41" yWindow="7170" windowWidth="19440" windowHeight="6825" tabRatio="925" activeTab="0"/>
  </bookViews>
  <sheets>
    <sheet name="Appendix A" sheetId="1" r:id="rId1"/>
    <sheet name="ATT 1-ADIT" sheetId="2" r:id="rId2"/>
    <sheet name="ATT 2 - Other Taxes" sheetId="3" r:id="rId3"/>
    <sheet name="3 - Revenue Credits" sheetId="4" r:id="rId4"/>
    <sheet name="4 - 100 Basis Pt ROE" sheetId="5" r:id="rId5"/>
    <sheet name="5 - Cost Support" sheetId="6" r:id="rId6"/>
    <sheet name="6- Est &amp; Reconcile WS" sheetId="7" r:id="rId7"/>
    <sheet name="7 - Cap Add WS" sheetId="8" r:id="rId8"/>
    <sheet name="8 - Securitization" sheetId="9" r:id="rId9"/>
    <sheet name="9 - Depreciation Rates" sheetId="10" r:id="rId10"/>
    <sheet name="9 - Supplemental" sheetId="11" r:id="rId11"/>
  </sheets>
  <externalReferences>
    <externalReference r:id="rId14"/>
  </externalReferences>
  <definedNames>
    <definedName name="_p.choice">#REF!</definedName>
    <definedName name="AA.print">#REF!</definedName>
    <definedName name="AB.print">#REF!</definedName>
    <definedName name="AO.print">#REF!</definedName>
    <definedName name="AV.FM.1..adjusted..print">#REF!</definedName>
    <definedName name="AV.FM.1.print">#REF!</definedName>
    <definedName name="BA.print">#REF!</definedName>
    <definedName name="BB.print">#REF!</definedName>
    <definedName name="BG.print">#REF!</definedName>
    <definedName name="BK..FM1.Adjusted..print">#REF!</definedName>
    <definedName name="BK..FM1.ROR..print">#REF!</definedName>
    <definedName name="Levelized..FM1.ROR..print">#REF!</definedName>
    <definedName name="Print.selection.print">#REF!</definedName>
    <definedName name="_xlnm.Print_Area" localSheetId="3">'3 - Revenue Credits'!$A$1:$D$30</definedName>
    <definedName name="_xlnm.Print_Area" localSheetId="5">'5 - Cost Support'!$A$1:$Q$134</definedName>
    <definedName name="_xlnm.Print_Area" localSheetId="6">'6- Est &amp; Reconcile WS'!$A$1:$X$172</definedName>
    <definedName name="_xlnm.Print_Area" localSheetId="7">'7 - Cap Add WS'!$A$1:$AZ$82</definedName>
    <definedName name="_xlnm.Print_Area" localSheetId="0">'Appendix A'!$A$1:$I$298</definedName>
    <definedName name="_xlnm.Print_Area" localSheetId="1">'ATT 1-ADIT'!$A$1:$H$191</definedName>
    <definedName name="_xlnm.Print_Area" localSheetId="2">'ATT 2 - Other Taxes'!$A$1:$H$72</definedName>
    <definedName name="_xlnm.Print_Titles" localSheetId="5">'5 - Cost Support'!$1:$3</definedName>
    <definedName name="_xlnm.Print_Titles" localSheetId="7">'7 - Cap Add WS'!$C:$D</definedName>
    <definedName name="_xlnm.Print_Titles" localSheetId="9">'9 - Depreciation Rates'!$1:$8</definedName>
    <definedName name="_xlnm.Print_Titles" localSheetId="10">'9 - Supplemental'!$1:$9</definedName>
    <definedName name="solver_adj" localSheetId="0" hidden="1">'Appendix A'!#REF!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'Appendix A'!#REF!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 name="Z_28948E05_8F34_4F1E_96FB_A80A6A844600_.wvu.Cols" localSheetId="7" hidden="1">'7 - Cap Add WS'!$U:$AR</definedName>
    <definedName name="Z_28948E05_8F34_4F1E_96FB_A80A6A844600_.wvu.Cols" localSheetId="1" hidden="1">'ATT 1-ADIT'!#REF!</definedName>
    <definedName name="Z_28948E05_8F34_4F1E_96FB_A80A6A844600_.wvu.PrintArea" localSheetId="1" hidden="1">'ATT 1-ADIT'!$A$1:$H$188</definedName>
    <definedName name="Z_28948E05_8F34_4F1E_96FB_A80A6A844600_.wvu.PrintTitles" localSheetId="7" hidden="1">'7 - Cap Add WS'!$C:$D</definedName>
    <definedName name="Z_3A38DF7A_C35E_4DD3_9893_26310A3EF836_.wvu.Cols" localSheetId="7" hidden="1">'7 - Cap Add WS'!$U:$AR</definedName>
    <definedName name="Z_3A38DF7A_C35E_4DD3_9893_26310A3EF836_.wvu.PrintTitles" localSheetId="7" hidden="1">'7 - Cap Add WS'!$C:$D</definedName>
    <definedName name="Z_4C7C2344_134C_465A_ADEB_A5E96AAE2308_.wvu.Cols" localSheetId="7" hidden="1">'7 - Cap Add WS'!$U:$AR</definedName>
    <definedName name="Z_4C7C2344_134C_465A_ADEB_A5E96AAE2308_.wvu.PrintTitles" localSheetId="7" hidden="1">'7 - Cap Add WS'!$C:$D</definedName>
    <definedName name="Z_63011E91_4609_4523_98FE_FD252E915668_.wvu.Cols" localSheetId="1" hidden="1">'ATT 1-ADIT'!#REF!</definedName>
    <definedName name="Z_63011E91_4609_4523_98FE_FD252E915668_.wvu.PrintArea" localSheetId="6" hidden="1">'6- Est &amp; Reconcile WS'!$A$1:$Q$170</definedName>
    <definedName name="Z_63011E91_4609_4523_98FE_FD252E915668_.wvu.PrintArea" localSheetId="1" hidden="1">'ATT 1-ADIT'!$A$1:$H$188</definedName>
    <definedName name="Z_6928E596_79BD_4CEC_9F0D_07E62D69B2A5_.wvu.Cols" localSheetId="1" hidden="1">'ATT 1-ADIT'!#REF!</definedName>
    <definedName name="Z_6928E596_79BD_4CEC_9F0D_07E62D69B2A5_.wvu.PrintArea" localSheetId="1" hidden="1">'ATT 1-ADIT'!$A$1:$H$188</definedName>
    <definedName name="Z_71B42B22_A376_44B5_B0C1_23FC1AA3DBA2_.wvu.Cols" localSheetId="7" hidden="1">'7 - Cap Add WS'!$U:$AR</definedName>
    <definedName name="Z_71B42B22_A376_44B5_B0C1_23FC1AA3DBA2_.wvu.Cols" localSheetId="1" hidden="1">'ATT 1-ADIT'!#REF!</definedName>
    <definedName name="Z_71B42B22_A376_44B5_B0C1_23FC1AA3DBA2_.wvu.PrintArea" localSheetId="1" hidden="1">'ATT 1-ADIT'!$A$1:$H$188</definedName>
    <definedName name="Z_71B42B22_A376_44B5_B0C1_23FC1AA3DBA2_.wvu.PrintTitles" localSheetId="7" hidden="1">'7 - Cap Add WS'!$C:$D</definedName>
    <definedName name="Z_8FBB4DC9_2D51_4AB9_80D8_F8474B404C29_.wvu.Cols" localSheetId="1" hidden="1">'ATT 1-ADIT'!#REF!</definedName>
    <definedName name="Z_8FBB4DC9_2D51_4AB9_80D8_F8474B404C29_.wvu.PrintArea" localSheetId="1" hidden="1">'ATT 1-ADIT'!$A$1:$H$188</definedName>
    <definedName name="Z_B647CB7F_C846_4278_B6B1_1EF7F3C004F5_.wvu.Cols" localSheetId="1" hidden="1">'ATT 1-ADIT'!#REF!</definedName>
    <definedName name="Z_B647CB7F_C846_4278_B6B1_1EF7F3C004F5_.wvu.PrintArea" localSheetId="1" hidden="1">'ATT 1-ADIT'!$A$1:$H$188</definedName>
    <definedName name="Z_DA967730_B71F_4038_B1B7_9D4790729C5D_.wvu.Cols" localSheetId="7" hidden="1">'7 - Cap Add WS'!$U:$AR</definedName>
    <definedName name="Z_DA967730_B71F_4038_B1B7_9D4790729C5D_.wvu.PrintTitles" localSheetId="7" hidden="1">'7 - Cap Add WS'!$C:$D</definedName>
    <definedName name="Z_DC91DEF3_837B_4BB9_A81E_3B78C5914E6C_.wvu.Cols" localSheetId="7" hidden="1">'7 - Cap Add WS'!$U:$AR</definedName>
    <definedName name="Z_DC91DEF3_837B_4BB9_A81E_3B78C5914E6C_.wvu.Cols" localSheetId="1" hidden="1">'ATT 1-ADIT'!#REF!</definedName>
    <definedName name="Z_DC91DEF3_837B_4BB9_A81E_3B78C5914E6C_.wvu.PrintArea" localSheetId="1" hidden="1">'ATT 1-ADIT'!$A$1:$H$188</definedName>
    <definedName name="Z_DC91DEF3_837B_4BB9_A81E_3B78C5914E6C_.wvu.PrintTitles" localSheetId="7" hidden="1">'7 - Cap Add WS'!$C:$D</definedName>
    <definedName name="Z_F96D6087_3330_4A81_95EC_26BA83722A49_.wvu.Cols" localSheetId="7" hidden="1">'7 - Cap Add WS'!$U:$AR</definedName>
    <definedName name="Z_F96D6087_3330_4A81_95EC_26BA83722A49_.wvu.PrintTitles" localSheetId="7" hidden="1">'7 - Cap Add WS'!$C:$D</definedName>
    <definedName name="Z_FAAD9AAC_1337_43AB_BF1F_CCF9DFCF5B78_.wvu.Cols" localSheetId="7" hidden="1">'7 - Cap Add WS'!$U:$AR</definedName>
    <definedName name="Z_FAAD9AAC_1337_43AB_BF1F_CCF9DFCF5B78_.wvu.Cols" localSheetId="1" hidden="1">'ATT 1-ADIT'!#REF!</definedName>
    <definedName name="Z_FAAD9AAC_1337_43AB_BF1F_CCF9DFCF5B78_.wvu.PrintArea" localSheetId="1" hidden="1">'ATT 1-ADIT'!$A$1:$H$188</definedName>
    <definedName name="Z_FAAD9AAC_1337_43AB_BF1F_CCF9DFCF5B78_.wvu.PrintTitles" localSheetId="7" hidden="1">'7 - Cap Add WS'!$C:$D</definedName>
  </definedNames>
  <calcPr fullCalcOnLoad="1"/>
</workbook>
</file>

<file path=xl/sharedStrings.xml><?xml version="1.0" encoding="utf-8"?>
<sst xmlns="http://schemas.openxmlformats.org/spreadsheetml/2006/main" count="1490" uniqueCount="852">
  <si>
    <t xml:space="preserve">Adjustment for Ancillary Services p321.88b and p321.92b.  </t>
  </si>
  <si>
    <t>Point-to-Point Service revenues for which the load is not included in the divisor received by Transmission Owner (e.g. Schedule 8)</t>
  </si>
  <si>
    <t>(O)</t>
  </si>
  <si>
    <t>(P)</t>
  </si>
  <si>
    <t>(Q)</t>
  </si>
  <si>
    <t>(R)</t>
  </si>
  <si>
    <t>(J / 12)</t>
  </si>
  <si>
    <t>(K / 12)</t>
  </si>
  <si>
    <t>(L / 12)</t>
  </si>
  <si>
    <t>(M / 12)</t>
  </si>
  <si>
    <t>Instructions for Account 282:</t>
  </si>
  <si>
    <t>Subtotal - p234</t>
  </si>
  <si>
    <t>ADIT</t>
  </si>
  <si>
    <t>Plant Related</t>
  </si>
  <si>
    <t>Page 263</t>
  </si>
  <si>
    <t>Col (i)</t>
  </si>
  <si>
    <t>Labor Related</t>
  </si>
  <si>
    <t>Other Included</t>
  </si>
  <si>
    <t>Total Plant Related</t>
  </si>
  <si>
    <t>Total Labor Related</t>
  </si>
  <si>
    <t>Total Other Included</t>
  </si>
  <si>
    <t>Currently Excluded</t>
  </si>
  <si>
    <t>Allocated</t>
  </si>
  <si>
    <t>Amount</t>
  </si>
  <si>
    <t>ADIT net of FASB 106 and 109</t>
  </si>
  <si>
    <t xml:space="preserve">      Less Loss on Reacquired Debt </t>
  </si>
  <si>
    <t xml:space="preserve">      Plus Gain on Reacquired Debt</t>
  </si>
  <si>
    <t>Line #</t>
  </si>
  <si>
    <t>Life</t>
  </si>
  <si>
    <t>CIAC</t>
  </si>
  <si>
    <t>Details</t>
  </si>
  <si>
    <t>Invest Yr</t>
  </si>
  <si>
    <t>As set forth in Attachment 5, added to the depreciation expense will be actual removal costs (net of salvage) amortized over five years.</t>
  </si>
  <si>
    <t>FCR if a CIAC</t>
  </si>
  <si>
    <t>FCR for This Project</t>
  </si>
  <si>
    <t xml:space="preserve">Line B less Line A </t>
  </si>
  <si>
    <t>Subtotal General and Intangible Accum. Depreciation Allocated to Transmission</t>
  </si>
  <si>
    <t>Total General and Intangible Plant</t>
  </si>
  <si>
    <t>Total General and Intangible Functionalized to Transmission</t>
  </si>
  <si>
    <t>Allocated Administrative &amp; General Expenses</t>
  </si>
  <si>
    <t>Administrative &amp; General Expenses</t>
  </si>
  <si>
    <t>Administrative &amp; General Expenses Allocated to Transmission</t>
  </si>
  <si>
    <t>Attachment 9 - Depreciation Rates</t>
  </si>
  <si>
    <t>Plant Type</t>
  </si>
  <si>
    <t xml:space="preserve">General </t>
  </si>
  <si>
    <t>Structures and Improvements</t>
  </si>
  <si>
    <t xml:space="preserve">Depreciation rates shown in Attachment 9 are fixed until changed as the result of a filing at FERC. </t>
  </si>
  <si>
    <t>Amount offset from Note 3 below</t>
  </si>
  <si>
    <t>Annual Depreciation Exp</t>
  </si>
  <si>
    <t>Revenue</t>
  </si>
  <si>
    <t>Beginning</t>
  </si>
  <si>
    <t>Depreciation</t>
  </si>
  <si>
    <t>Ending</t>
  </si>
  <si>
    <t>….</t>
  </si>
  <si>
    <t>…..</t>
  </si>
  <si>
    <t>Incentive Charged</t>
  </si>
  <si>
    <t>Revenue Credit</t>
  </si>
  <si>
    <t>Formula Line</t>
  </si>
  <si>
    <t>New Plant Carrying Charge</t>
  </si>
  <si>
    <t xml:space="preserve">      Less LTD on Securitization Bonds</t>
  </si>
  <si>
    <t>Per State Tax Code</t>
  </si>
  <si>
    <t>PJM Data</t>
  </si>
  <si>
    <t>p = percent of federal income tax deductible for state purposes</t>
  </si>
  <si>
    <t>Network Zonal Service Rate</t>
  </si>
  <si>
    <t>Net Zonal Revenue Requirement</t>
  </si>
  <si>
    <t>FERC Form 1  Page # or Instruction</t>
  </si>
  <si>
    <t>Revenue is Ending times line 16 for the current year</t>
  </si>
  <si>
    <t>by a 40% rate in effect for the remainder of the year will be calculated as: ((.3500 x 120) + (.4000 x 245))/365 = .3836.</t>
  </si>
  <si>
    <t>For Plant in service:  (first year means first year the project is placed in service)</t>
  </si>
  <si>
    <t>"Beginning" is the investment on line 17 for the first year and is the "Ending" for the prior year after the first year</t>
  </si>
  <si>
    <t>"Depreciation" is the annual depreciation in line 18 divided by twelve times the difference of thirteen minus line 19 in the first year and line 18 thereafter if "no" on line 13.  "Depreciation" is "0" (zero) if "Yes" on line 13</t>
  </si>
  <si>
    <t>Revenue is "Ending" times line 16 for the current year times the quotient line 19 divided by 13 plus "Depreciation" for the first year and "Ending" times line 16 plus "Depreciation" thereafter</t>
  </si>
  <si>
    <t>MultiState Workpaper</t>
  </si>
  <si>
    <t>Transmission Related</t>
  </si>
  <si>
    <t>Safety Related</t>
  </si>
  <si>
    <t>State 1</t>
  </si>
  <si>
    <t>State 2</t>
  </si>
  <si>
    <t>State 3</t>
  </si>
  <si>
    <t>State 4</t>
  </si>
  <si>
    <t>State 5</t>
  </si>
  <si>
    <t>Education &amp; Outreach</t>
  </si>
  <si>
    <t>Other</t>
  </si>
  <si>
    <t>Enter $</t>
  </si>
  <si>
    <t>Description of the Facilities</t>
  </si>
  <si>
    <t>General Depreciation &amp; Intangible Amortization Allocated to Transmission</t>
  </si>
  <si>
    <t xml:space="preserve">     ITC Adjustment x 1 / (1-T)</t>
  </si>
  <si>
    <t>Transmission Depreciation Expense Including Amortization of Limited Term Plant</t>
  </si>
  <si>
    <t>General Depreciation Expense Including Amortization of Limited Term Plant</t>
  </si>
  <si>
    <t>Add more lines if necessary</t>
  </si>
  <si>
    <t>General Description of the Facilities</t>
  </si>
  <si>
    <t>Description of the Credits</t>
  </si>
  <si>
    <t xml:space="preserve">Description &amp; PJM Documentation </t>
  </si>
  <si>
    <t>F</t>
  </si>
  <si>
    <t>N</t>
  </si>
  <si>
    <t>Surcharge (Refund) Owed</t>
  </si>
  <si>
    <t xml:space="preserve">For Reconciliation only - remove actual New Transmission Plant Additions for Year 2  </t>
  </si>
  <si>
    <t>Add weighted Cap Adds actually placed in service in Year 2</t>
  </si>
  <si>
    <t>Operation &amp; Maintenance Expense</t>
  </si>
  <si>
    <t>ITC Adjust. Allocated to Trans. - Grossed Up</t>
  </si>
  <si>
    <t xml:space="preserve">Includes Transmission portion only.  </t>
  </si>
  <si>
    <t>PURTA</t>
  </si>
  <si>
    <t>Removal of land held for future use (if any) that is included in CWIP balance</t>
  </si>
  <si>
    <t>Balance for Appendix A</t>
  </si>
  <si>
    <t xml:space="preserve">Actual Copperstone Substation (b0468) </t>
  </si>
  <si>
    <t>Transmission Formula Rate over/undercollection</t>
  </si>
  <si>
    <t>323.197b</t>
  </si>
  <si>
    <t>Functionalized to TX</t>
  </si>
  <si>
    <t>Land Held for Future Use</t>
  </si>
  <si>
    <t>Distribution related expense deferred for book purposes and deducted for tax purposes.</t>
  </si>
  <si>
    <t>Prepaid Insurance</t>
  </si>
  <si>
    <t>Distribution related book expense not deductible for tax return purposes.</t>
  </si>
  <si>
    <t>FAS158 Regulatory Asset</t>
  </si>
  <si>
    <t>TO adds weighted Cap Adds to plant in service in Formula</t>
  </si>
  <si>
    <t>Reconciliation - TO calculates Reconciliation by removing from Year 2 data - the total Cap Adds placed in service in Year 2 and adding weighted average in Year 2 actual Cap Adds and CWIP in Reconciliation</t>
  </si>
  <si>
    <t>(adjusted to include any Reconciliation amount from prior year)</t>
  </si>
  <si>
    <t>Reconciliation - TO adds the difference between the Reconciliation in Step 7 and the forecast in Line 5 with interest to the result of Step 7 (this difference is also added to Step 8 in the subsequent year)</t>
  </si>
  <si>
    <t>(D)</t>
  </si>
  <si>
    <t>(E)</t>
  </si>
  <si>
    <t>(F)</t>
  </si>
  <si>
    <t>(G)</t>
  </si>
  <si>
    <t>(H)</t>
  </si>
  <si>
    <t>(I)</t>
  </si>
  <si>
    <t>(J)</t>
  </si>
  <si>
    <t>(K)</t>
  </si>
  <si>
    <t>(L)</t>
  </si>
  <si>
    <t>(M)</t>
  </si>
  <si>
    <t>Monthly Additions</t>
  </si>
  <si>
    <t>Other Plant In Service</t>
  </si>
  <si>
    <t>(I / 12)</t>
  </si>
  <si>
    <t>New Transmission Plant Additions  and CWIP (weighted by months in service)</t>
  </si>
  <si>
    <t>Month In Service or Month for CWIP</t>
  </si>
  <si>
    <t>(Year 2 data with total of Year 2 Cap Adds removed and monthly weighted average of Year 2 actual Cap Adds added in)</t>
  </si>
  <si>
    <t>Interest rate pursuant to 35.19a for March of the Current Yr</t>
  </si>
  <si>
    <t>Interest rate for</t>
  </si>
  <si>
    <t>March of the Current Yr</t>
  </si>
  <si>
    <t>Interest rate from above</t>
  </si>
  <si>
    <t>transmission customers.</t>
  </si>
  <si>
    <t>Actual Susquehanna - Roseland PIS (b0487.1) &lt; 500kV</t>
  </si>
  <si>
    <t>Actual Susquehanna - Roseland PIS (b0487) &gt;= 500kV</t>
  </si>
  <si>
    <t>Projected Susquehanna - Roseland PIS (b0487) &gt;= 500kV</t>
  </si>
  <si>
    <t>Projected Susquehanna - Roseland PIS (b0487.1) &lt; 500kV</t>
  </si>
  <si>
    <t>Electric portion only.</t>
  </si>
  <si>
    <t>Includes all EPRI Annual Membership Dues.</t>
  </si>
  <si>
    <t>Includes all Regulatory Commission Expenses.</t>
  </si>
  <si>
    <t xml:space="preserve">Includes Safety-related advertising included in Account 930.1.  </t>
  </si>
  <si>
    <t xml:space="preserve">rate used in the formula shall be weighted by the number of days each such rate was in effect.  For example, a 35% rate in effect for 120 days superseded </t>
  </si>
  <si>
    <t xml:space="preserve">Includes only charges incurred for system integration, such as those under the EHV Agreement, and transmission costs paid to others that benefit </t>
  </si>
  <si>
    <t>Amortization over Rate Year</t>
  </si>
  <si>
    <t>The difference between the Reconciliation in Step 7 and the forecast in Prior Year with interest</t>
  </si>
  <si>
    <t>Input to Line 35 of Appendix A</t>
  </si>
  <si>
    <t>Susq-Rose CWIP</t>
  </si>
  <si>
    <t>Susq-Rose PIS</t>
  </si>
  <si>
    <t>(N)</t>
  </si>
  <si>
    <t>Input to Formula Line 16</t>
  </si>
  <si>
    <t>Must run Appendix A to get this number (without inputs in lines 16, 17 or 35 of Appendix A )</t>
  </si>
  <si>
    <t>Input to Line 17 of Appendix A</t>
  </si>
  <si>
    <t>Must run Appendix A to get this number (with inputs on lines 17 and 35 of Attachment A)</t>
  </si>
  <si>
    <t>Must run Appendix A to get this number (with inputs in lines 16, 17 and 35 of Appendix A )</t>
  </si>
  <si>
    <t>Transmission Gross Plant (excluding Land Held for Future Use)</t>
  </si>
  <si>
    <t>Transmission Net Plant (excluding Land Held for Future Use)</t>
  </si>
  <si>
    <t>Accumulated Deferred Investment Tax Credits (Non-Transmission)</t>
  </si>
  <si>
    <t>Accumulated Deferred Investment Tax Credits (Transmission)</t>
  </si>
  <si>
    <t>Regulatory Liability - Income Taxes Related to ITC (Tx)</t>
  </si>
  <si>
    <t>Regulatory Liability - Income Taxes Related to ITC (Non-Tx)</t>
  </si>
  <si>
    <t>ACRS/MACRS Property  (Non-Transmission)</t>
  </si>
  <si>
    <t>ACRS/MACRS Property  (General Plant)</t>
  </si>
  <si>
    <t>Basis adjustments between book and tax plant (Non-Tx)</t>
  </si>
  <si>
    <t>Basis adjustments between book and tax plant (General Plant)</t>
  </si>
  <si>
    <t>Schedule 12</t>
  </si>
  <si>
    <t>Rev Req based on Year 1 data</t>
  </si>
  <si>
    <t>Year 1</t>
  </si>
  <si>
    <t>Increased Return and Taxes</t>
  </si>
  <si>
    <t>True-up amount</t>
  </si>
  <si>
    <t>Account 456 - Other Electric Revenues (Note 1)</t>
  </si>
  <si>
    <t>Transmission Plant Cost of Removal, Net of Salvage</t>
  </si>
  <si>
    <t>Total Transmission Depreciation Expense Including Amortization of Limited Term Plant</t>
  </si>
  <si>
    <t>General Plant Cost of Removal, Net of Salvage</t>
  </si>
  <si>
    <t>Total General Depreciation Expense Including Amortization of Limited Term Plant</t>
  </si>
  <si>
    <t>Amortization</t>
  </si>
  <si>
    <t>PBOP expense is fixed until changed as the result of a filing at FERC.</t>
  </si>
  <si>
    <t>1.  ADIT items related only to Non-Electric Operations (e.g., Gas, Water, Sewer) or Production are directly assigned to Column C</t>
  </si>
  <si>
    <t>2.  ADIT items related only to Transmission are directly assigned to Column D</t>
  </si>
  <si>
    <t xml:space="preserve">For Reconciliation only - remove New Transmission Plant Additions for Current Calendar Year  </t>
  </si>
  <si>
    <t>Return and Taxes with 100 Basis Point increase in ROE</t>
  </si>
  <si>
    <t>100 Basis Point increase in ROE and Income Taxes</t>
  </si>
  <si>
    <t>Composite Income Taxes</t>
  </si>
  <si>
    <t>Increased ROE (Basis Points)</t>
  </si>
  <si>
    <t>W Increased ROE</t>
  </si>
  <si>
    <t>Attachment 4 - Calculation of 100 Basis Point Increase in ROE</t>
  </si>
  <si>
    <t>PPL Electric Utilities Corporation</t>
  </si>
  <si>
    <t>Remove all Cap Adds placed in service in Year 2</t>
  </si>
  <si>
    <t>Year 2</t>
  </si>
  <si>
    <t>Revenue Requirement for Year 3</t>
  </si>
  <si>
    <t>Year 3</t>
  </si>
  <si>
    <t xml:space="preserve">Composite Income Taxes                                                                                                       </t>
  </si>
  <si>
    <t>Step</t>
  </si>
  <si>
    <t>Month</t>
  </si>
  <si>
    <t>Year</t>
  </si>
  <si>
    <t>Action</t>
  </si>
  <si>
    <t>Exec Summary</t>
  </si>
  <si>
    <t>April</t>
  </si>
  <si>
    <t>p.214.d - p214.6.d &amp;</t>
  </si>
  <si>
    <t>Transmission Related Major Items</t>
  </si>
  <si>
    <t>Transmission Related Minor Items</t>
  </si>
  <si>
    <t>May</t>
  </si>
  <si>
    <t>June</t>
  </si>
  <si>
    <t>Weighting</t>
  </si>
  <si>
    <t>Jan</t>
  </si>
  <si>
    <t>Feb</t>
  </si>
  <si>
    <t>Mar</t>
  </si>
  <si>
    <t>Apr</t>
  </si>
  <si>
    <t>Jun</t>
  </si>
  <si>
    <t>Jul</t>
  </si>
  <si>
    <t>Aug</t>
  </si>
  <si>
    <t>Sep</t>
  </si>
  <si>
    <t>Oct</t>
  </si>
  <si>
    <t>Nov</t>
  </si>
  <si>
    <t>Dec</t>
  </si>
  <si>
    <t>Interest on Amount of Refunds or Surcharges</t>
  </si>
  <si>
    <t>Yr</t>
  </si>
  <si>
    <t>Interest</t>
  </si>
  <si>
    <t>Months</t>
  </si>
  <si>
    <t>Balance</t>
  </si>
  <si>
    <t>New Transmission Plant Additions for Current Calendar Year  (weighted by months in service)</t>
  </si>
  <si>
    <t xml:space="preserve">    Less:  Actual PBOP expense</t>
  </si>
  <si>
    <t>Current year actual PBOP expense</t>
  </si>
  <si>
    <t>Yes</t>
  </si>
  <si>
    <t>Project subaccount of Plant in Service Account 101 or 106 if not yet classified</t>
  </si>
  <si>
    <t>Non-transmission Related</t>
  </si>
  <si>
    <t>Non-safety Related</t>
  </si>
  <si>
    <t>"Yes" if a project under PJM OATT Schedule 12, otherwise "No"</t>
  </si>
  <si>
    <t>Useful life of the project</t>
  </si>
  <si>
    <t>entered by the Pennsylvania Public Utility Commission on May 21, 1999 at Docket No. R-00994637, in accordance with Pennsylvania's Electric Generation</t>
  </si>
  <si>
    <t>Contributions in Aid of Construction  (Tx-related)</t>
  </si>
  <si>
    <t>Contributions in Aid of Construction (Non-Tx)</t>
  </si>
  <si>
    <t>"Yes" if the customer has paid a lumpsum payment in the amount of the investment on line 29, Otherwise "No"</t>
  </si>
  <si>
    <t>Input the allowed increase in ROE</t>
  </si>
  <si>
    <t>Line 14 plus (line 5 times line 15)/100</t>
  </si>
  <si>
    <t>Investment</t>
  </si>
  <si>
    <t>Line 17 divided by line 12</t>
  </si>
  <si>
    <t>Month in which project is placed in service (e.g. Jan=1)</t>
  </si>
  <si>
    <t>On the formulas used in the Columns for lines 22+ are as follows</t>
  </si>
  <si>
    <t>For CWIP:</t>
  </si>
  <si>
    <t xml:space="preserve">Beginning is the line 17 for that year </t>
  </si>
  <si>
    <t>Depreciation is not used</t>
  </si>
  <si>
    <t>"Ending" is "Beginning" less "Depreciation"</t>
  </si>
  <si>
    <t xml:space="preserve">Ending is the same as Beginning </t>
  </si>
  <si>
    <t>Transmission / Non-transmission Cost Support</t>
  </si>
  <si>
    <t>Regulatory Expense Related to Transmission Cost Support</t>
  </si>
  <si>
    <t>Safety Related Advertising Cost Support</t>
  </si>
  <si>
    <t>Education and Out Reach Cost Support</t>
  </si>
  <si>
    <t>PJM Load Cost Support</t>
  </si>
  <si>
    <t>Excluded Plant Cost Support</t>
  </si>
  <si>
    <t>Return Calculation</t>
  </si>
  <si>
    <t>O</t>
  </si>
  <si>
    <t>Therefore actual revenues collected in a year do not change based on cost data for subsequent years</t>
  </si>
  <si>
    <t>Rev Req based on Prior Year data</t>
  </si>
  <si>
    <t>The forecast in Prior Year</t>
  </si>
  <si>
    <t>Total with interest</t>
  </si>
  <si>
    <t>Calculation of the above Securitization Adjustments</t>
  </si>
  <si>
    <t>Account 454 - Rent from Electric Property</t>
  </si>
  <si>
    <t>Shaded cells are input cells</t>
  </si>
  <si>
    <t>Attachment 1 - Accumulated Deferred Income Taxes (ADIT) Worksheet</t>
  </si>
  <si>
    <t>Attachment 2 - Taxes Other Than Income Worksheet</t>
  </si>
  <si>
    <t>Attachment 7 - Transmission Enhancement Charge Worksheet</t>
  </si>
  <si>
    <t>Attachment 6</t>
  </si>
  <si>
    <t>Attachment 1</t>
  </si>
  <si>
    <t>Attachment 8</t>
  </si>
  <si>
    <t>Attachment 5</t>
  </si>
  <si>
    <t>Attachment 3</t>
  </si>
  <si>
    <t>Attachment 4</t>
  </si>
  <si>
    <t>Fixed Charge Rate (FCR) if not a CIAC</t>
  </si>
  <si>
    <t>Post results of Step 9 on PJM web site</t>
  </si>
  <si>
    <t>Number</t>
  </si>
  <si>
    <t>Station Equipment</t>
  </si>
  <si>
    <t>Towers and Fixtures</t>
  </si>
  <si>
    <t>Poles and Fixtures</t>
  </si>
  <si>
    <t>Overhead Conductors and Devices</t>
  </si>
  <si>
    <t>Underground Conduit</t>
  </si>
  <si>
    <t>Underground Conductors and Devices</t>
  </si>
  <si>
    <t>Roads and Trails</t>
  </si>
  <si>
    <t>Land Rights</t>
  </si>
  <si>
    <t>Towers and Fixtures - Clearing Land and Rights of Way</t>
  </si>
  <si>
    <t>Poles and Fixtures - Clearing Land and Rights of Way</t>
  </si>
  <si>
    <t>Gains from the sale of Land Held for Future Use</t>
  </si>
  <si>
    <t>Structures and Improvements - Air Conditioning</t>
  </si>
  <si>
    <t>Office Furniture and Equipment - Furniture</t>
  </si>
  <si>
    <t>Transportation Equipment - Trailers</t>
  </si>
  <si>
    <t>Laboratory Equipment</t>
  </si>
  <si>
    <t>Power Operated Equipment</t>
  </si>
  <si>
    <t>Communication Equipment</t>
  </si>
  <si>
    <t>Miscellaneous Equipment</t>
  </si>
  <si>
    <t xml:space="preserve">CWIP for Incentive Transmission Projects </t>
  </si>
  <si>
    <t xml:space="preserve">CWIP Balances for Current Rate Year  </t>
  </si>
  <si>
    <t>Prepayments and Prepaid Pension Asset</t>
  </si>
  <si>
    <t>W&amp;S Allocator</t>
  </si>
  <si>
    <t>Accumulated Amortization</t>
  </si>
  <si>
    <t>Adjustments to A &amp; G Expense</t>
  </si>
  <si>
    <t>Total Plant In Rate Base</t>
  </si>
  <si>
    <t>PA</t>
  </si>
  <si>
    <t>p.321.112.b</t>
  </si>
  <si>
    <t>p.321.96.b</t>
  </si>
  <si>
    <t>Year 4</t>
  </si>
  <si>
    <t>Year 5</t>
  </si>
  <si>
    <t>Post results of Step 3 on PJM web site</t>
  </si>
  <si>
    <t>For Reconciliation Only</t>
  </si>
  <si>
    <t>Attachment 2</t>
  </si>
  <si>
    <t>The FCR resulting from Formula in a given year is used for that year only.</t>
  </si>
  <si>
    <t>Less FASB 109 Above if not separately removed</t>
  </si>
  <si>
    <t>Less FASB 106 Above if not separately removed</t>
  </si>
  <si>
    <t>(A)</t>
  </si>
  <si>
    <t>(B)</t>
  </si>
  <si>
    <t xml:space="preserve">Facility Credits under Section 30.9 of the PJM OATT </t>
  </si>
  <si>
    <t xml:space="preserve">Prepayments </t>
  </si>
  <si>
    <t xml:space="preserve">Attachment 5 </t>
  </si>
  <si>
    <t>Other taxes that are incurred through ownership of only general or intangible plant will be allocated based on the Wages and Salary</t>
  </si>
  <si>
    <t>Gross Revenue Credits</t>
  </si>
  <si>
    <t>Instructions:</t>
  </si>
  <si>
    <t>Or</t>
  </si>
  <si>
    <t>Adjustments</t>
  </si>
  <si>
    <t>Appendix A Line #s, Descriptions, Notes, Form No. 1 Page #s and Instructions</t>
  </si>
  <si>
    <t>Form No. 1 Amount</t>
  </si>
  <si>
    <t>Annual Premium associated with storm insurance excluding recoveries related to prior periods.</t>
  </si>
  <si>
    <t xml:space="preserve">Remove all investment below 69 kV or generator step-up transformers included in transmission plant in service that </t>
  </si>
  <si>
    <t>are not a result of the RTEP process</t>
  </si>
  <si>
    <t>If unable to determine the investment below 69kV in a substation with investment of 69 kV and higher, as well as below 69 kV,</t>
  </si>
  <si>
    <t>Hosensack Wavetrap (b0171.2)</t>
  </si>
  <si>
    <t>Alburtis Wavetrap (b0172.1)</t>
  </si>
  <si>
    <t xml:space="preserve">    Less Taxes Other Than Income on Securitization Bonds</t>
  </si>
  <si>
    <t>Conservation Program Regulatory Asset</t>
  </si>
  <si>
    <t xml:space="preserve"> Universal Service Rider over/undercollection</t>
  </si>
  <si>
    <t>Generation Service Charge over/undercollection</t>
  </si>
  <si>
    <t>Transmission related expense deferred for book purposes and deducted for tax purposes.</t>
  </si>
  <si>
    <t>PA Capital Stock Tax</t>
  </si>
  <si>
    <t>the following formula will be used:</t>
  </si>
  <si>
    <t>Example</t>
  </si>
  <si>
    <t>Total investment in substation</t>
  </si>
  <si>
    <t>Identifiable investment in Transmission (provide workpapers)</t>
  </si>
  <si>
    <t>Identifiable investment in Distribution (provide workpapers)</t>
  </si>
  <si>
    <t>Amount to be excluded (A x (C / (B + C)))</t>
  </si>
  <si>
    <t>Description of the Prepayments</t>
  </si>
  <si>
    <t>Justification</t>
  </si>
  <si>
    <t>Total Income Taxes</t>
  </si>
  <si>
    <t>Summary</t>
  </si>
  <si>
    <t>Net Property, Plant &amp; Equipment</t>
  </si>
  <si>
    <t>Taxes Other than Income</t>
  </si>
  <si>
    <t>Common Stock</t>
  </si>
  <si>
    <t>Revenue Credits</t>
  </si>
  <si>
    <t>C</t>
  </si>
  <si>
    <t>Gross Plant Allocator</t>
  </si>
  <si>
    <t>p227.16.c</t>
  </si>
  <si>
    <t>Total  Capitalization</t>
  </si>
  <si>
    <t>Total Long Term Debt</t>
  </si>
  <si>
    <t>Total Long Term Debt (WCLTD)</t>
  </si>
  <si>
    <t>J</t>
  </si>
  <si>
    <t>Long Term Interest</t>
  </si>
  <si>
    <t>Long Term Debt</t>
  </si>
  <si>
    <t xml:space="preserve">    Less LTD Interest on Securitization Bonds</t>
  </si>
  <si>
    <t>Depreciation Expense</t>
  </si>
  <si>
    <t>Accumulated Depreciation (Total Electric Plant)</t>
  </si>
  <si>
    <t>(Yes or No)</t>
  </si>
  <si>
    <t>Transmission Wages Expense</t>
  </si>
  <si>
    <t>Total Wages Expense</t>
  </si>
  <si>
    <t xml:space="preserve"> </t>
  </si>
  <si>
    <t>E</t>
  </si>
  <si>
    <t>A</t>
  </si>
  <si>
    <t>D</t>
  </si>
  <si>
    <t>G</t>
  </si>
  <si>
    <t>Preferred Stock</t>
  </si>
  <si>
    <t>K</t>
  </si>
  <si>
    <t>Schedule 1A</t>
  </si>
  <si>
    <t>Other Taxes</t>
  </si>
  <si>
    <t>p207.58.g</t>
  </si>
  <si>
    <t>p219.25.c</t>
  </si>
  <si>
    <t>Total Cash Working Capital Allocated to Transmission</t>
  </si>
  <si>
    <t>Transmission Materials &amp; Supplies</t>
  </si>
  <si>
    <t>Directly Assigned A&amp;G</t>
  </si>
  <si>
    <t>A&amp;G Directly Assigned to Transmission</t>
  </si>
  <si>
    <t>Adjustment to Remove Revenue Requirements Associated with Excluded Transmission Facilities</t>
  </si>
  <si>
    <t>Excluded Transmission Facilities</t>
  </si>
  <si>
    <t>Included Transmission Facilities</t>
  </si>
  <si>
    <t>Inclusion Ratio</t>
  </si>
  <si>
    <t>Adjusted Gross Revenue Requirement</t>
  </si>
  <si>
    <t>Total Materials &amp; Supplies Allocated to Transmission</t>
  </si>
  <si>
    <t>Materials and Supplies</t>
  </si>
  <si>
    <t>Accumulated Depreciation</t>
  </si>
  <si>
    <t>Prepayments</t>
  </si>
  <si>
    <t>Cash Working Capital</t>
  </si>
  <si>
    <t>Allocators</t>
  </si>
  <si>
    <t>Attachment 8 - Company Exhibit - Securitization Worksheet</t>
  </si>
  <si>
    <t>Attachment 3 - Revenue Credit Worksheet</t>
  </si>
  <si>
    <t>(iii.) 11.68% on June 1, 2010 through May 31, 2011 and thereafter.  No change in ROE will be made absent a filing at FERC.</t>
  </si>
  <si>
    <t>Less A&amp;G Wages Expense</t>
  </si>
  <si>
    <t>Total Accumulated Depreciation</t>
  </si>
  <si>
    <t>Wages &amp; Salary Allocation Factor</t>
  </si>
  <si>
    <t>Adjustment To Rate Base</t>
  </si>
  <si>
    <t>Plant In Service</t>
  </si>
  <si>
    <t>Intangible Amortization</t>
  </si>
  <si>
    <t xml:space="preserve">    Less Account 216.1</t>
  </si>
  <si>
    <t xml:space="preserve">    Less Preferred Stock</t>
  </si>
  <si>
    <t>Capitalization</t>
  </si>
  <si>
    <t>ITC Adjustment</t>
  </si>
  <si>
    <t>p336.1.d&amp;e</t>
  </si>
  <si>
    <t>p200.21.c</t>
  </si>
  <si>
    <t>p227.8.c</t>
  </si>
  <si>
    <t>Subtotal, Excluded</t>
  </si>
  <si>
    <t>Total Included  (Lines 8 + 14 + 19)</t>
  </si>
  <si>
    <t>p118.29.c</t>
  </si>
  <si>
    <t>p112.16.c</t>
  </si>
  <si>
    <t>p112.12.c</t>
  </si>
  <si>
    <t>p111.81.c</t>
  </si>
  <si>
    <t>p113.61.c</t>
  </si>
  <si>
    <t>ACRS/MACRS Property  (Transmission)</t>
  </si>
  <si>
    <t>Deductions for transmission related method/life, book and tax recovery differences on pre-ACRS/MACRS property, ACRS/MACRS property and unamortized net negative salvage at federal and state rates.</t>
  </si>
  <si>
    <t>RAR adjustments related to plant (Non-Transmission)</t>
  </si>
  <si>
    <t>RAR adjustments related to plant (Transmission)</t>
  </si>
  <si>
    <t>Susquehanna - Roseland CWIP (b0487) &gt;= 500kV</t>
  </si>
  <si>
    <t>&lt; 500kV (b0487.1)</t>
  </si>
  <si>
    <t>&gt;= 500kV (b0487)</t>
  </si>
  <si>
    <t>p112.3.c</t>
  </si>
  <si>
    <t>Appendix A Line or Source  Reference</t>
  </si>
  <si>
    <t>Account 190</t>
  </si>
  <si>
    <t>Pensions and Post-Retirement</t>
  </si>
  <si>
    <t>Bad Debts</t>
  </si>
  <si>
    <t>Vacation Pay</t>
  </si>
  <si>
    <t>Taxes Other Than Income Taxes</t>
  </si>
  <si>
    <t>RAR Adjustments</t>
  </si>
  <si>
    <t>Deferred Intercompany Transactions</t>
  </si>
  <si>
    <t>Deferred Compensation</t>
  </si>
  <si>
    <t>Environmental Liability</t>
  </si>
  <si>
    <t>Post Employment Liabilities</t>
  </si>
  <si>
    <t>Account 282</t>
  </si>
  <si>
    <t>FAS109 regulatory assets/liabilities related to plant</t>
  </si>
  <si>
    <t>Account 283</t>
  </si>
  <si>
    <t>Reacquired debt costs</t>
  </si>
  <si>
    <t>FAS 109 regulatory assets/liabilities</t>
  </si>
  <si>
    <t xml:space="preserve">Pension and post-retirement </t>
  </si>
  <si>
    <t>Deferred intercompany gain - trademark sale</t>
  </si>
  <si>
    <t>Juniata Wavetrap (b0284.2)</t>
  </si>
  <si>
    <t>Receivables Factoring</t>
  </si>
  <si>
    <t>Gas, Prod,</t>
  </si>
  <si>
    <t>Dist Or Other</t>
  </si>
  <si>
    <t>Total Accounts 924 and 930.1 - General</t>
  </si>
  <si>
    <t xml:space="preserve"> Sum Cols. D, E, F; Enter as negative Appendix A, line 42.</t>
  </si>
  <si>
    <t xml:space="preserve">Net Transmission Plant </t>
  </si>
  <si>
    <t>Gross Revenue Requirement Less Return and Taxes</t>
  </si>
  <si>
    <t>3.  ADIT items related to Plant and not in Columns C &amp; D are included in Column E</t>
  </si>
  <si>
    <t>Enter Negative</t>
  </si>
  <si>
    <t>Amortized Investment Tax Credit - Transmission Related</t>
  </si>
  <si>
    <t>4.  ADIT items related to labor and not in Columns C &amp; D are included in Column F</t>
  </si>
  <si>
    <t>Company Records</t>
  </si>
  <si>
    <t>SIT=State Income Tax Rate or Composite</t>
  </si>
  <si>
    <t>FIT=Federal Income Tax Rate</t>
  </si>
  <si>
    <t>Investment Return = Rate Base * Rate of Return</t>
  </si>
  <si>
    <t>Income Tax Rates</t>
  </si>
  <si>
    <t>Preferred Dividends</t>
  </si>
  <si>
    <t>Rate ($/MW-Year)</t>
  </si>
  <si>
    <t>1 CP Peak</t>
  </si>
  <si>
    <t>Depreciation &amp; Amortization Expense</t>
  </si>
  <si>
    <t>Total Transmission Depreciation &amp; Amortization</t>
  </si>
  <si>
    <t>L</t>
  </si>
  <si>
    <t>M</t>
  </si>
  <si>
    <t>Transmission O&amp;M</t>
  </si>
  <si>
    <t>Wages &amp; Salary Allocator</t>
  </si>
  <si>
    <t>Total Transmission O&amp;M</t>
  </si>
  <si>
    <t>Total A&amp;G</t>
  </si>
  <si>
    <t>Transmission Plant In Service</t>
  </si>
  <si>
    <t>Plant Calculations</t>
  </si>
  <si>
    <t>Net Plant</t>
  </si>
  <si>
    <t>Net Plant Allocator</t>
  </si>
  <si>
    <t>Rate Base</t>
  </si>
  <si>
    <t xml:space="preserve">Income Tax Component = </t>
  </si>
  <si>
    <t xml:space="preserve"> enter positive</t>
  </si>
  <si>
    <t xml:space="preserve">     CIT=(T/1-T) * Investment Return * (1-(WCLTD/R)) =</t>
  </si>
  <si>
    <t>Plant Allocation Factors</t>
  </si>
  <si>
    <t>1/8th Rule</t>
  </si>
  <si>
    <t>Total</t>
  </si>
  <si>
    <t>B</t>
  </si>
  <si>
    <t>Proprietary Capital</t>
  </si>
  <si>
    <t>T / (1-T)</t>
  </si>
  <si>
    <t>Amortized Investment Tax Credit</t>
  </si>
  <si>
    <t>Transmission Accumulated Depreciation</t>
  </si>
  <si>
    <t>Electric Plant in Service</t>
  </si>
  <si>
    <t>Investment Return</t>
  </si>
  <si>
    <t>Income Taxes</t>
  </si>
  <si>
    <t>Criteria for Allocation:</t>
  </si>
  <si>
    <t xml:space="preserve">Wages &amp; Salary Allocator </t>
  </si>
  <si>
    <t>Attachment 5 - Cost Support</t>
  </si>
  <si>
    <t xml:space="preserve">p219.28.c </t>
  </si>
  <si>
    <t>Attachment 6 - Estimate and Reconciliation Worksheet</t>
  </si>
  <si>
    <t>Result of Formula for Reconciliation</t>
  </si>
  <si>
    <t>The Reconciliation in Step 8</t>
  </si>
  <si>
    <t xml:space="preserve">The amounts above are associated with transition bonds issued to securitize the recovery of retail </t>
  </si>
  <si>
    <t>P</t>
  </si>
  <si>
    <t xml:space="preserve">Any gain from the sale of land included in Land Held for Future Use in the Formula Rate received during the Rate Year shall be used to reduce the ATRR in the </t>
  </si>
  <si>
    <t xml:space="preserve">stranded costs, pursuant to an Order entered by the Pennsylvania Public Utility Commission on </t>
  </si>
  <si>
    <t xml:space="preserve">May 21, 1999 at Docket No. R-00994637, in accordance with Pennsylvania's Electric Generation </t>
  </si>
  <si>
    <t>Customer Choice and Competition Act.</t>
  </si>
  <si>
    <t>Distribution related income that is taxable for tax return purposes, but recorded as a reduction to plant for book purposes.</t>
  </si>
  <si>
    <t>Transmission related income that is taxable for tax return purposes, but recorded as a reduction to plant for book purposes.</t>
  </si>
  <si>
    <t>Actual Cost of Removal, Net of Salvage Costs</t>
  </si>
  <si>
    <t>Structures and Improvements - Leaseholds</t>
  </si>
  <si>
    <t>S4</t>
  </si>
  <si>
    <t>Asset recorded for regulatory purposes to adjust plant related deferred taxes to current federal and state rates.</t>
  </si>
  <si>
    <t xml:space="preserve">the percentage of federal income tax deductible for state income taxes.  </t>
  </si>
  <si>
    <t>actual tax rates in effect for the Rate Year being reconciled ("Test Year").  When statutory marginal tax rates change during such Test Year, the effective tax</t>
  </si>
  <si>
    <t>The calculation of the Reconciliation revenue requirement according to Step 7 of Attachment 6 ("Estimate and Reconciliation Worksheet") shall reflect the</t>
  </si>
  <si>
    <t>ROE will be as follows:  (i.) 11.60% for the period November 1, 2008 through May 31, 2009; (ii.) 11.64% for the period June 1, 2009 through May 31, 2010;</t>
  </si>
  <si>
    <t>Gross Revenue Requirement</t>
  </si>
  <si>
    <t xml:space="preserve">    Less EPRI Dues</t>
  </si>
  <si>
    <t>p</t>
  </si>
  <si>
    <t>(percent of federal income tax deductible for state purposes)</t>
  </si>
  <si>
    <t>Notes</t>
  </si>
  <si>
    <t>Allocator</t>
  </si>
  <si>
    <t>Fixed</t>
  </si>
  <si>
    <t>T</t>
  </si>
  <si>
    <t>Net Revenue Requirement</t>
  </si>
  <si>
    <t>FERC Authorized</t>
  </si>
  <si>
    <t xml:space="preserve">     Less Account 565</t>
  </si>
  <si>
    <t>Subtotal</t>
  </si>
  <si>
    <t xml:space="preserve">    Less Property Insurance Account 924</t>
  </si>
  <si>
    <t xml:space="preserve">    Less Regulatory Commission Exp Account 928</t>
  </si>
  <si>
    <t xml:space="preserve">    Less General Advertising Exp Account 930.1</t>
  </si>
  <si>
    <t>Regulatory Commission Exp Account 928</t>
  </si>
  <si>
    <t>General Advertising Exp Account 930.1</t>
  </si>
  <si>
    <t>Property Insurance Account 924</t>
  </si>
  <si>
    <t xml:space="preserve">     T=1 - {[(1 - SIT) * (1 - FIT)] / (1 - SIT * FIT * p)} =</t>
  </si>
  <si>
    <t>Network Service Rate ($/MW/Year)</t>
  </si>
  <si>
    <t>Debt %</t>
  </si>
  <si>
    <t>Common %</t>
  </si>
  <si>
    <t>Debt Cost</t>
  </si>
  <si>
    <t>Common Cost</t>
  </si>
  <si>
    <t>Weighted Cost of Debt</t>
  </si>
  <si>
    <t>Weighted Cost of Common</t>
  </si>
  <si>
    <t>Accumulated General Depreciation</t>
  </si>
  <si>
    <t>Preferred %</t>
  </si>
  <si>
    <t>Preferred Cost</t>
  </si>
  <si>
    <t>Amount of transmission plant excluded from rates per Attachment 5.</t>
  </si>
  <si>
    <t>Rate of Return on Rate Base ( ROR )</t>
  </si>
  <si>
    <t>Undistributed Stores Expense</t>
  </si>
  <si>
    <t>The currently effective income tax rate where FIT is the Federal income tax rate; SIT is the State income tax rate, and p =</t>
  </si>
  <si>
    <t xml:space="preserve">Subtotal - p277  </t>
  </si>
  <si>
    <t xml:space="preserve">Subtotal - p275  </t>
  </si>
  <si>
    <t>Excludes prior period adjustments in the first year of the formula's operation and reconciliation for the first year.</t>
  </si>
  <si>
    <t>Form 1 -- p111.57.c</t>
  </si>
  <si>
    <t xml:space="preserve">  (See FM 1, note to page 114, line 14)</t>
  </si>
  <si>
    <t>(S)</t>
  </si>
  <si>
    <t xml:space="preserve">  (See FM 1, note to page 114, line 4)</t>
  </si>
  <si>
    <t xml:space="preserve">  (See FM 1, note to page 110, line 57)</t>
  </si>
  <si>
    <t xml:space="preserve">  (See FM 1, note to page 114, lines 62 + 63)</t>
  </si>
  <si>
    <t xml:space="preserve">  (See FM 1, note to page 112, line 18)</t>
  </si>
  <si>
    <t xml:space="preserve">  </t>
  </si>
  <si>
    <t>Prior Period Adjustment</t>
  </si>
  <si>
    <t>Adjusted Total</t>
  </si>
  <si>
    <t>(See FM 1 note to page 320 line 185)</t>
  </si>
  <si>
    <t>Property Insurance excludes prior period adjustment in the first year of the formula's operation and reconciliation for the first year.</t>
  </si>
  <si>
    <t>Amounts associated with transition bonds issued to securitize the recovery of retail stranded costs are removed from account balances, pursuant to an Order</t>
  </si>
  <si>
    <t xml:space="preserve">Less amounts related to POLR, Retail Issues </t>
  </si>
  <si>
    <t>and Bond Securitization.</t>
  </si>
  <si>
    <t>POLR and Retail Related Adjustment</t>
  </si>
  <si>
    <t>Note 2:    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</si>
  <si>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t>p112.18.c, 19.c &amp; 21.c</t>
  </si>
  <si>
    <t>Net revenues associated with Network Integration Transmission Service (NITS) for which the load is not included in the divisor (Note 3)</t>
  </si>
  <si>
    <t>Professional Services provided to others</t>
  </si>
  <si>
    <t>(Sum Lines 1-10)</t>
  </si>
  <si>
    <t xml:space="preserve"> Note 1:     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or included in the peak on line 150 of Appendix A.</t>
  </si>
  <si>
    <t>Schedule 12 Revenues (Note 3)</t>
  </si>
  <si>
    <t>Facilities Charges including Interconnection Agreements (Note 2)</t>
  </si>
  <si>
    <t>CWIP Balance Dec (prior yr.)</t>
  </si>
  <si>
    <t>Rev Req based on Year 2 data with estimated Cap Adds and CWIP for Year 3 (Step 9)</t>
  </si>
  <si>
    <t xml:space="preserve">Rent from Electric Property - Transmission Related </t>
  </si>
  <si>
    <t xml:space="preserve">    Plus:  Fixed PBOP expense</t>
  </si>
  <si>
    <t xml:space="preserve">    Fixed PBOP expense</t>
  </si>
  <si>
    <t xml:space="preserve">    Actual PBOP expense</t>
  </si>
  <si>
    <t xml:space="preserve">    Less Accumulated Other Comprehensive Income Account 219</t>
  </si>
  <si>
    <t>p112.15.c</t>
  </si>
  <si>
    <t>Total Net Property, Plant &amp; Equipment</t>
  </si>
  <si>
    <t>Total Adjustment to Rate Base</t>
  </si>
  <si>
    <t>Adjustments to Transmission O&amp;M</t>
  </si>
  <si>
    <t>Appendix A Line #s, Descriptions, Notes, Form 1 Page #s and Instructions</t>
  </si>
  <si>
    <t>TO populates the formula with Year 1 data from FERC Form No. 1 data for Year 1 (e.g., 2007)</t>
  </si>
  <si>
    <t>TO estimates all transmission Cap Adds and CWIP for Year 2 weighted based on Months expected to be in service in Year 2 (e.g., 2008)</t>
  </si>
  <si>
    <t>Results of Step 3 go into effect for the Rate Year 1 (e.g., June 1, 2008 - May 31, 2009)</t>
  </si>
  <si>
    <t>TO populates the formula with Year 2 data from FERC Form No. 1 for Year 2 (e.g., 2008)</t>
  </si>
  <si>
    <t xml:space="preserve"> Note 3:     If the facilities associated with the revenues are not included in the formula, the revenue is shown here, but not included in the total above and explained in the Cost Support, e.g., revenues associated with distribution facilities.  In addition, Revenues from Schedule 12 are not included in the total above to the extent they are credited directly by PJM to zonal customers. </t>
  </si>
  <si>
    <t>TO estimates Cap Adds and CWIP during Year 3 weighted based on Months expected to be in service in Year 3 (e.g., 2009)</t>
  </si>
  <si>
    <t>Results of Step 9 go into effect for the Rate Year 2 (e.g., June 1, 2009 - May 31, 2010)</t>
  </si>
  <si>
    <t xml:space="preserve">Upon request, PPL Electric Utilities Corporation will provide workpapers at the annual update to reconcile formula depreciation expense and depreciation </t>
  </si>
  <si>
    <t xml:space="preserve">accruals to Form No. 1 amounts. </t>
  </si>
  <si>
    <t>5 - Year</t>
  </si>
  <si>
    <t>Total Wages Less A&amp;G Wages Expense</t>
  </si>
  <si>
    <t>Wage &amp; Salary Allocator</t>
  </si>
  <si>
    <t>From Acct. 282 total, below</t>
  </si>
  <si>
    <t>From Acct. 283 total, below</t>
  </si>
  <si>
    <t>From Acct. 190 total, below</t>
  </si>
  <si>
    <t>Total Transmission Plant</t>
  </si>
  <si>
    <t>Sum lines 1 through 3</t>
  </si>
  <si>
    <t>row 4</t>
  </si>
  <si>
    <t>row 5 * row 4</t>
  </si>
  <si>
    <t>In filling out this attachment, a full and complete description of each item and justification for the allocation to Columns B-F and each separate ADIT item will be listed,</t>
  </si>
  <si>
    <t>dissimilar items with amounts exceeding $100,000 will be listed separately.</t>
  </si>
  <si>
    <t>Total Undistributed Stores Expense Allocated to Transmission</t>
  </si>
  <si>
    <t xml:space="preserve">  1/8</t>
  </si>
  <si>
    <t>p352 &amp; 353</t>
  </si>
  <si>
    <t>Subtotal - Accounts 928 and 930.1 - Transmission Related</t>
  </si>
  <si>
    <t>5. Deferred income taxes arise when items are included in taxable income in different periods than they are included in rates, therefore if the item giving rise to the ADIT is not included in the formula, the associated ADIT amount shall be excluded.</t>
  </si>
  <si>
    <t>p354.21.b</t>
  </si>
  <si>
    <t>p354.28.b</t>
  </si>
  <si>
    <t>p354.27.b</t>
  </si>
  <si>
    <t>p207.104.g</t>
  </si>
  <si>
    <t>p219.29.c</t>
  </si>
  <si>
    <t>p207.99.g</t>
  </si>
  <si>
    <t>p323.189.b</t>
  </si>
  <si>
    <t>p323.191.b</t>
  </si>
  <si>
    <t>Total, Included and Excluded (Line 20 + Line 28)</t>
  </si>
  <si>
    <t>Operations &amp; Maintenance Expense</t>
  </si>
  <si>
    <t>Revenue Requirement</t>
  </si>
  <si>
    <t xml:space="preserve">Taxes Other than Income Taxes                                                   </t>
  </si>
  <si>
    <t>Taxes Other than Income Taxes</t>
  </si>
  <si>
    <t>Total Taxes Other than Income Taxes</t>
  </si>
  <si>
    <t>Return \ Capitalization Calculations</t>
  </si>
  <si>
    <t>Difference  (Line 29 - Line 30)</t>
  </si>
  <si>
    <t>Formula Rate -- Appendix A</t>
  </si>
  <si>
    <t>H</t>
  </si>
  <si>
    <t>p350-151h</t>
  </si>
  <si>
    <t xml:space="preserve">     (T/1-T) * Investment Return * (1-(WCLTD/ROR)) =</t>
  </si>
  <si>
    <t>Transmission for Others (Note 3)</t>
  </si>
  <si>
    <t>None</t>
  </si>
  <si>
    <t>I</t>
  </si>
  <si>
    <t>1 / (1-T)</t>
  </si>
  <si>
    <t>CIT = T / (1-T)</t>
  </si>
  <si>
    <t>No</t>
  </si>
  <si>
    <t>p323.185.b</t>
  </si>
  <si>
    <t>Susquehanna - Roseland CWIP (b0487.1) &lt; 500kV</t>
  </si>
  <si>
    <t>FAS158 Regulatory Liability</t>
  </si>
  <si>
    <t>State NOL Carryforwards</t>
  </si>
  <si>
    <t xml:space="preserve">     Tax Credit Carryforward</t>
  </si>
  <si>
    <t>Tax credits carryforward to a future period.</t>
  </si>
  <si>
    <t xml:space="preserve"> Book Contingencies</t>
  </si>
  <si>
    <t>Federal NOL Carryforward</t>
  </si>
  <si>
    <t>Effectively Settled Audit Adjustments</t>
  </si>
  <si>
    <t>Storms Deferrals</t>
  </si>
  <si>
    <t>Clearing accounts</t>
  </si>
  <si>
    <t>Stanton 4th Transformer (b0791)</t>
  </si>
  <si>
    <t>Rate Year.  The Formula Rate shall not include any losses on sales of such land.</t>
  </si>
  <si>
    <t>Real Property (State, Municipal or Local)</t>
  </si>
  <si>
    <t>Federal FICA</t>
  </si>
  <si>
    <t>Federal Unemployment</t>
  </si>
  <si>
    <t>State Unemployment</t>
  </si>
  <si>
    <t>Gross Receipts</t>
  </si>
  <si>
    <t>Sales and Use</t>
  </si>
  <si>
    <t>ATTACHMENT H-8G</t>
  </si>
  <si>
    <t>CWIP can be included only if authorized by the Commission.</t>
  </si>
  <si>
    <t xml:space="preserve">Includes Regulatory Commission Expenses directly related to transmission service, RTO filings, or transmission siting itemized in Form 1 at page 351.h. </t>
  </si>
  <si>
    <t xml:space="preserve">Education and outreach expenses related to transmission (e.g., siting or billing). </t>
  </si>
  <si>
    <t>As provided for in Section 34.1 of the PJM OATT, the PJM established billing determinants will not be revised or updated in the annual rate reconciliations.</t>
  </si>
  <si>
    <t xml:space="preserve">Other taxes that are incurred through ownership of plant, including transmission plant, will be allocated based on the Net Plant </t>
  </si>
  <si>
    <t>Allocator.  If the taxes are 100% recovered at retail, they shall not be included.</t>
  </si>
  <si>
    <t>(C)</t>
  </si>
  <si>
    <t>Gross Depreciable</t>
  </si>
  <si>
    <t>Accumulated</t>
  </si>
  <si>
    <t>Depreciable</t>
  </si>
  <si>
    <t>Estimated</t>
  </si>
  <si>
    <t>Mortality</t>
  </si>
  <si>
    <t>Current</t>
  </si>
  <si>
    <t>Remaining</t>
  </si>
  <si>
    <t>Plant</t>
  </si>
  <si>
    <t>Expense</t>
  </si>
  <si>
    <t>Curve</t>
  </si>
  <si>
    <t>Age</t>
  </si>
  <si>
    <t>$</t>
  </si>
  <si>
    <t>R4</t>
  </si>
  <si>
    <t>R1</t>
  </si>
  <si>
    <t>R3</t>
  </si>
  <si>
    <t>S0</t>
  </si>
  <si>
    <t>NA</t>
  </si>
  <si>
    <t>L1.5</t>
  </si>
  <si>
    <t>Notes:</t>
  </si>
  <si>
    <t>Columns (A), (B), (C), and (D) are fixed and cannot be changed absent Commission approval or acceptance.</t>
  </si>
  <si>
    <t>Each year, PPL Electric will provide a copy of the annual report submitted to the PA PUC that shows the calculation of the depreciation rates and expenses derived from Columns (C) and (D).</t>
  </si>
  <si>
    <t>Every 5 years, PPL Electric will file with the Commission a depreciation study supporting its existing Estimated Life and Mortality Curve for each account or subaccount.</t>
  </si>
  <si>
    <t xml:space="preserve">Other taxes, except as provided for in A, B and C above, which are incurred and (1) are not fully recovered at retail or (2) are </t>
  </si>
  <si>
    <t xml:space="preserve">overheads shall be treated,  as described in footnote B above. </t>
  </si>
  <si>
    <t xml:space="preserve">directly or indirectly related to transmission service, will be allocated based on the Net Plant Allocator; provided, however, that </t>
  </si>
  <si>
    <t xml:space="preserve">    Less Prepayments on Securitization Bonds</t>
  </si>
  <si>
    <t xml:space="preserve"> Prepayments on Securitization Bonds Adjustment</t>
  </si>
  <si>
    <t>Taxes Other Than Income</t>
  </si>
  <si>
    <t>Total Other Taxes from p114.14.c less Tax on Securitization Bonds</t>
  </si>
  <si>
    <t xml:space="preserve">    Less:  Administrative &amp; General Expenses on Securitization Bonds</t>
  </si>
  <si>
    <t>Administrative and General Expenses</t>
  </si>
  <si>
    <t xml:space="preserve">    Less Administrative and General Expenses on Securitization Bonds</t>
  </si>
  <si>
    <t>p117.62.c through 66.c</t>
  </si>
  <si>
    <t>From line 3 above if "No" on line 13 and from line 7 above if "Yes" on line 13</t>
  </si>
  <si>
    <t>(See Note #1)</t>
  </si>
  <si>
    <t xml:space="preserve">              June Year 1 through October Year 1.  Enter 1/12 of Step 8</t>
  </si>
  <si>
    <t>1/12 of Step 8</t>
  </si>
  <si>
    <t xml:space="preserve">Note #1:  For the initial rate year, enter zero for the first five months, </t>
  </si>
  <si>
    <t>Applied</t>
  </si>
  <si>
    <t>Depreciation Rate</t>
  </si>
  <si>
    <t>Column (E) is based on the Estimated Life in Column (C) less the Remaining Life in Column (F) for those accounts for which using a Mortality Curve is identified.</t>
  </si>
  <si>
    <t>Column (F) is  the average remaining life of the assets in the account based on their vintage.</t>
  </si>
  <si>
    <t>Column (G) is the depreciation rate from the Mortality Curve specified based on data in Columns (C) and (D).</t>
  </si>
  <si>
    <t>Columns (H) and (I) are the depreciable gross plant investment and accumulated depreciation in the account or subaccount.</t>
  </si>
  <si>
    <t>Column (J) is the depreciable net plant in the account or subaccount.</t>
  </si>
  <si>
    <t xml:space="preserve">Column (K) is Column (G) multiplied by Column (J) for those accounts that have an identified Mortality Curve.  </t>
  </si>
  <si>
    <t>Column (K) for Account No. 392.3 is net of  capitalized depreciation expense.  See the applicable note in  FERC Form No. 1.</t>
  </si>
  <si>
    <t xml:space="preserve">Attachment 9 - Supplemental </t>
  </si>
  <si>
    <t xml:space="preserve"> General Plant Depreciation Details</t>
  </si>
  <si>
    <t>Structures and Improvements - Leaseholds - Net Method</t>
  </si>
  <si>
    <t>Office Furniture and Equipment - Furniture - Gross Method</t>
  </si>
  <si>
    <t>Office Furniture and Equipment - Furniture - Net Method</t>
  </si>
  <si>
    <t>Store Equipment - Gross Method</t>
  </si>
  <si>
    <t>Store Equipment - Net Method</t>
  </si>
  <si>
    <t>Laboratory Equipment - Gross Method</t>
  </si>
  <si>
    <t>Laboratory Equipment - Net Method</t>
  </si>
  <si>
    <t>Communication Equipment - Gross Method</t>
  </si>
  <si>
    <t>Communication Equipment - Net Method</t>
  </si>
  <si>
    <t>Miscellaneous Equipment - Gross Method</t>
  </si>
  <si>
    <t>Miscellaneous Equipment - Net Method</t>
  </si>
  <si>
    <t>This schedule shows additional detail for those General Plant accounts that do not have a Mortality Curve.  The calculation of Depreciation Expense by the Gross Plant Method (i.e., Column (G) multiplied by Column (H))</t>
  </si>
  <si>
    <t xml:space="preserve">and the Net Plant Method (i.e., Column (G) multiplied by Column (J)) is shown separately for the assets in each account subject to each such method.  Assets purchased new are depreciated using the Gross Plant Method.  </t>
  </si>
  <si>
    <t>Assets purchased used are depreciated using the Net Plant Method (i.e., over their remaining economic life).</t>
  </si>
  <si>
    <t xml:space="preserve">             for the months Nov Year 1 through May Year 2.</t>
  </si>
  <si>
    <t>General</t>
  </si>
  <si>
    <t>Intangible</t>
  </si>
  <si>
    <t>p205.5.g</t>
  </si>
  <si>
    <t>Other taxes that are assessed based on labor will be allocated based on the Wages and Salary Allocator.</t>
  </si>
  <si>
    <t>Net Plant Carrying Charge</t>
  </si>
  <si>
    <t>Net Plant Carrying Charge Calculation per 100 Basis Point increase in ROE</t>
  </si>
  <si>
    <t>Net Revenue Requirement per 100 Basis Point increase in ROE</t>
  </si>
  <si>
    <t>Net Plant Carrying Charge per 100 Basis Point increase in ROE</t>
  </si>
  <si>
    <t>Net Plant Carrying Charge per 100 Basis Point in ROE without Depreciation</t>
  </si>
  <si>
    <t xml:space="preserve">Net Plant Carrying Charge </t>
  </si>
  <si>
    <t>Net Plant Carrying Charge without Depreciation</t>
  </si>
  <si>
    <t>Net Plant Carrying Charge without Depreciation, Return, nor Income Taxes</t>
  </si>
  <si>
    <t>Weighted Cost of Preferred</t>
  </si>
  <si>
    <t>Transmission</t>
  </si>
  <si>
    <t>ADIT-190</t>
  </si>
  <si>
    <t>ADIT- 282</t>
  </si>
  <si>
    <t>ADIT-283</t>
  </si>
  <si>
    <t>Accumulated Deferred Income Taxes</t>
  </si>
  <si>
    <t xml:space="preserve">Plant </t>
  </si>
  <si>
    <t>Related</t>
  </si>
  <si>
    <t>Labor</t>
  </si>
  <si>
    <t>Instructions for Account 190:</t>
  </si>
  <si>
    <t>Instructions for Account 283:</t>
  </si>
  <si>
    <t xml:space="preserve">     Plus Charges billed to Transmission Owner and booked to Account 565</t>
  </si>
  <si>
    <t>Basis adjustments between book and tax plant (Tx-related)</t>
  </si>
  <si>
    <t>Non-Utility Property</t>
  </si>
  <si>
    <t xml:space="preserve">Northeast Pocono </t>
  </si>
  <si>
    <t>Reliability Project CWIP</t>
  </si>
  <si>
    <t>NPR CWIP</t>
  </si>
  <si>
    <t>Service Company Labor Related Costs</t>
  </si>
  <si>
    <t>Service Company Other Related Costs</t>
  </si>
  <si>
    <t xml:space="preserve"> Distribution System Improvement Charge  over/undercollection</t>
  </si>
  <si>
    <t xml:space="preserve"> Storm Damage over/undercollection</t>
  </si>
  <si>
    <t>Smart Meter Technology Regulatory Asset</t>
  </si>
  <si>
    <t>(B )</t>
  </si>
  <si>
    <t>Amount (A x G)</t>
  </si>
  <si>
    <t>Amount (B x G)</t>
  </si>
  <si>
    <t>Amount (C x G)</t>
  </si>
  <si>
    <t>Amount (D x G)</t>
  </si>
  <si>
    <t>Amount (E x G)</t>
  </si>
  <si>
    <t>Amount (F x G)</t>
  </si>
  <si>
    <t>(H/ 12)</t>
  </si>
  <si>
    <t>R0.5</t>
  </si>
  <si>
    <t xml:space="preserve">Structures and Improvements - Buildings </t>
  </si>
  <si>
    <t>Office Furniture and Equipment - Equipment</t>
  </si>
  <si>
    <t>Office Furniture and Equipment - Computers</t>
  </si>
  <si>
    <t>Office Furniture and Equipment - Power Mgmt. Sys.</t>
  </si>
  <si>
    <t>Transportation Equipment - Automobiles</t>
  </si>
  <si>
    <t>Transportation Equipment - Light Duty Trucks</t>
  </si>
  <si>
    <t>Transportation Equipment - Heavy Duty Trucks</t>
  </si>
  <si>
    <t>Transportation Equipment - Large Tankers/Tractors</t>
  </si>
  <si>
    <t>Transportation Equipment - Large Crane Trucks</t>
  </si>
  <si>
    <t>Stores Equipment</t>
  </si>
  <si>
    <t>Tools and Work Equipment - L&amp;S Line Crews</t>
  </si>
  <si>
    <t>Tools and Work Equipment - Tools</t>
  </si>
  <si>
    <t>Tools and Work Equipment - Construction Dept.</t>
  </si>
  <si>
    <t>Tools and Work Equipment - Other</t>
  </si>
  <si>
    <t>Tools and Work Equipment - Garage Equipment</t>
  </si>
  <si>
    <t>S1</t>
  </si>
  <si>
    <t>L4</t>
  </si>
  <si>
    <t>L3</t>
  </si>
  <si>
    <t>Miscellaneous Intangible Plant - Software</t>
  </si>
  <si>
    <t>Miscellaneous Intangible Plant - Fiber Optic</t>
  </si>
  <si>
    <t>Smart Meter Software</t>
  </si>
  <si>
    <r>
      <t>Office Furniture and Equipment -</t>
    </r>
    <r>
      <rPr>
        <sz val="10"/>
        <rFont val="Arial"/>
        <family val="2"/>
      </rPr>
      <t xml:space="preserve"> Equipment - Gross Method</t>
    </r>
  </si>
  <si>
    <t>Office Furniture and Equipment - Equipment - Net Method</t>
  </si>
  <si>
    <t>Office Furniture and Equipment - Computers - Gross Method</t>
  </si>
  <si>
    <t>Office Furniture and Equipment - Power Mgmt. Sys. - Gross Method</t>
  </si>
  <si>
    <t>Tools and Work Equipment - L&amp;S Line Crews - Gross Method</t>
  </si>
  <si>
    <t>Tools and Work Equipment - L&amp;S Line Crews - Net Method</t>
  </si>
  <si>
    <t>Tools and Work Equipment - Tools - Gross Method</t>
  </si>
  <si>
    <t>Tools and Work Equipment - Tools - Net Method</t>
  </si>
  <si>
    <t>Tools and Work Equipment - Construction Dept. - Gross Method</t>
  </si>
  <si>
    <t>Tools and Work Equipment - Construction Dept. - Net Method</t>
  </si>
  <si>
    <t>Tools and Work Equipment - Other - Gross Method</t>
  </si>
  <si>
    <t>Tools and Work Equipment - Other - Net Method</t>
  </si>
  <si>
    <t>Tools and Work Equipment - Garage Equipment - Gross Method</t>
  </si>
  <si>
    <t>Tools and Work Equipment - Garage Equipment - Net Method</t>
  </si>
  <si>
    <t>Severance Pay</t>
  </si>
  <si>
    <t>AMT Tax  Carryforward</t>
  </si>
  <si>
    <t>Transmission Service Charge over/undercollections</t>
  </si>
  <si>
    <t>Tax on Insurance Premiums</t>
  </si>
  <si>
    <t>Local Business License Tax</t>
  </si>
  <si>
    <t>Basis difference between book plant and tax plant basis related to investment tax credits on distribution property</t>
  </si>
  <si>
    <t>Basis difference between book plant and tax plant basis related to investment tax credits on transmission property</t>
  </si>
  <si>
    <t>Liability recorded for regulatory purposes related to accumulated deferred investment tax credit book/tax basis difference on distribution property</t>
  </si>
  <si>
    <t>Liability recorded for regulatory purposes related to accumulated deferred investment tax credit book/tax basis difference on transmission property</t>
  </si>
  <si>
    <t xml:space="preserve">Expense and equity(FAS158) adjustments for book purposes not deductible for tax purposes </t>
  </si>
  <si>
    <t>Liability recorded for regulatory purposes for FAS 158 pension and post-retirement costs</t>
  </si>
  <si>
    <t xml:space="preserve">Retail related book expense not deductible for tax return purposes </t>
  </si>
  <si>
    <t>Book expense not deductible for tax return purposes - labor related to all functions</t>
  </si>
  <si>
    <t>Book expense not deductible for tax return purposes</t>
  </si>
  <si>
    <t>Variable Pay</t>
  </si>
  <si>
    <t>Book expense not deductible for tax return purposes - retail related gross receipts and sales &amp; use taxes</t>
  </si>
  <si>
    <t>State Income Tax Adjustment</t>
  </si>
  <si>
    <t xml:space="preserve">Distribution related state income tax expense/(benefit) deferred for book purposes and not deductible /(taxable) for tax return purposes. </t>
  </si>
  <si>
    <t>Distribution related IRS audit adjustments</t>
  </si>
  <si>
    <t>Obsolete Inventory</t>
  </si>
  <si>
    <t>Distribution related book expense not deductible for tax return purposes</t>
  </si>
  <si>
    <t>Distribution related book expense for manufactured gas plants not deductible for tax return purposes</t>
  </si>
  <si>
    <t>State net operating loss carryforward</t>
  </si>
  <si>
    <t>Charitable Contributions</t>
  </si>
  <si>
    <t xml:space="preserve">Distribution related tax deduction carryforward to a future period. </t>
  </si>
  <si>
    <t>Federal net operating loss carryforward</t>
  </si>
  <si>
    <t>Retail related income recorded for book purposes not includable in taxable income - related to receivables factoring</t>
  </si>
  <si>
    <t>Deductions for distribution related tax depreciation in excess of book depreciation at federal rate</t>
  </si>
  <si>
    <t>Deductions for general plant related tax depreciation in excess of book depreciation at applicable federal and state rates</t>
  </si>
  <si>
    <t>Basis difference between Distribution related book plant and tax plant basis at federal &amp; state rates</t>
  </si>
  <si>
    <t>Basis difference between book plant and tax plant basis at federal &amp; state rates</t>
  </si>
  <si>
    <t>Basis difference between Transmission related plant and tax plant basis at federal &amp; state rates</t>
  </si>
  <si>
    <t>Settled IRS audit adjustments related to Distribution plant</t>
  </si>
  <si>
    <t>Settled IRS audit adjustments related to Transmission plant</t>
  </si>
  <si>
    <t>Agreed to IRS audit adjustments related to Distribution plant</t>
  </si>
  <si>
    <t xml:space="preserve">Difference between net book plant and net tax plant resulting from deductions for non-utility related tax depreciation in excess of book depreciation and cost basis differences between book plant and tax plant at federal and state tax rates </t>
  </si>
  <si>
    <t>2015 Data</t>
  </si>
  <si>
    <t>Column (K) for Accounts Nos. 303.2, 303.5, and 303.6 are calculated using individual asset depreciation and, therefore, are not derived values.</t>
  </si>
  <si>
    <t>For those General Plant accounts that do not have Mortality Curves as indicated by "NA" in Column (D), additional detail is provided in Attachment 9 - Supplemental General Plant Depreciation Details.</t>
  </si>
  <si>
    <t>Plant related expense deferred for book purposes and deducted for tax purposes</t>
  </si>
  <si>
    <t>Asset recorded for regulatory purposes related to book and tax basis plant and non-plant differences</t>
  </si>
  <si>
    <t>Expense and equity(FAS158) adjustments for book purposes not deductible for tax purposes</t>
  </si>
  <si>
    <t>Asset recorded for regulatory purposes for FAS 158 pension and post-retirement costs</t>
  </si>
  <si>
    <t>Distribution related expense deferred for book purposes and deducted for tax purposes</t>
  </si>
  <si>
    <t>Expense deferred for book purposes and deducted for tax purposes</t>
  </si>
  <si>
    <t>Retail related income recorded for book purposes not includable in taxable income</t>
  </si>
  <si>
    <t>Retail related book expense not deductible for tax return purposes</t>
  </si>
  <si>
    <t>Competitive Enhancement Rider over/undercollections</t>
  </si>
  <si>
    <t>Rate case expenses</t>
  </si>
  <si>
    <t>Retail related expense deferred for book purposes and deducted for tax purposes</t>
  </si>
  <si>
    <t>Income recorded for book purposes not includable in taxable income</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</si>
</sst>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0.0000"/>
    <numFmt numFmtId="167" formatCode="_(&quot;$&quot;* #,##0_);_(&quot;$&quot;* \(#,##0\);_(&quot;$&quot;* &quot;-&quot;??_);_(@_)"/>
    <numFmt numFmtId="168" formatCode="0.000%"/>
    <numFmt numFmtId="169" formatCode="0.00000"/>
    <numFmt numFmtId="170" formatCode="&quot;$&quot;#,##0.00"/>
    <numFmt numFmtId="171" formatCode="0.0%"/>
    <numFmt numFmtId="172" formatCode="_(* #,##0.0000_);_(* \(#,##0.0000\);_(* &quot;-&quot;??_);_(@_)"/>
    <numFmt numFmtId="173" formatCode="0.0000%"/>
    <numFmt numFmtId="174" formatCode="0.00000%"/>
    <numFmt numFmtId="175" formatCode="0.000000%"/>
    <numFmt numFmtId="176" formatCode="&quot;$&quot;#,##0"/>
    <numFmt numFmtId="177" formatCode="_(* #,##0.0_);_(* \(#,##0.0\);_(* &quot;-&quot;??_);_(@_)"/>
    <numFmt numFmtId="178" formatCode="0_)"/>
    <numFmt numFmtId="179" formatCode="#,##0.00000_);\(#,##0.00000\)"/>
    <numFmt numFmtId="180" formatCode="_(&quot;$&quot;* #,##0.0000_);_(&quot;$&quot;* \(#,##0.0000\);_(&quot;$&quot;* &quot;-&quot;??_);_(@_)"/>
    <numFmt numFmtId="181" formatCode="_(* #,##0.0_);_(* \(#,##0.0\);_(* &quot;-&quot;?_);_(@_)"/>
    <numFmt numFmtId="182" formatCode="#,##0.0_);\(#,##0.0\)"/>
    <numFmt numFmtId="183" formatCode="#,##0.000_);\(#,##0.000\)"/>
    <numFmt numFmtId="184" formatCode="#,##0.0000_);\(#,##0.0000\)"/>
    <numFmt numFmtId="185" formatCode="0.00000000"/>
    <numFmt numFmtId="186" formatCode="0.0000000"/>
    <numFmt numFmtId="187" formatCode="0.000000"/>
    <numFmt numFmtId="188" formatCode="0.000000000000000%"/>
    <numFmt numFmtId="189" formatCode="0.0"/>
    <numFmt numFmtId="190" formatCode="_(* #,##0.0000_);_(* \(#,##0.0000\);_(* &quot;-&quot;????_);_(@_)"/>
    <numFmt numFmtId="191" formatCode="&quot;Yes&quot;;&quot;Yes&quot;;&quot;No&quot;"/>
    <numFmt numFmtId="192" formatCode="&quot;True&quot;;&quot;True&quot;;&quot;False&quot;"/>
    <numFmt numFmtId="193" formatCode="&quot;On&quot;;&quot;On&quot;;&quot;Off&quot;"/>
    <numFmt numFmtId="194" formatCode="[$€-2]\ #,##0.00_);[Red]\([$€-2]\ #,##0.00\)"/>
    <numFmt numFmtId="195" formatCode="_(* #,##0.000_);_(* \(#,##0.000\);_(* &quot;-&quot;??_);_(@_)"/>
    <numFmt numFmtId="196" formatCode="_(* #,##0.000_);_(* \(#,##0.000\);_(* &quot;-&quot;???_);_(@_)"/>
    <numFmt numFmtId="197" formatCode="_(* #,##0.00_);_(* \(#,##0.00\);_(* &quot;-&quot;???_);_(@_)"/>
    <numFmt numFmtId="198" formatCode="_(* #,##0.00000_);_(* \(#,##0.00000\);_(* &quot;-&quot;??_);_(@_)"/>
    <numFmt numFmtId="199" formatCode="#,##0.0000"/>
    <numFmt numFmtId="200" formatCode="#,##0.0"/>
  </numFmts>
  <fonts count="113">
    <font>
      <sz val="10"/>
      <name val="Arial"/>
      <family val="0"/>
    </font>
    <font>
      <b/>
      <sz val="10"/>
      <name val="Arial"/>
      <family val="2"/>
    </font>
    <font>
      <u val="single"/>
      <sz val="10"/>
      <color indexed="14"/>
      <name val="MS Sans Serif"/>
      <family val="2"/>
    </font>
    <font>
      <u val="single"/>
      <sz val="10"/>
      <color indexed="12"/>
      <name val="MS Sans Serif"/>
      <family val="2"/>
    </font>
    <font>
      <b/>
      <sz val="12"/>
      <name val="Arial"/>
      <family val="2"/>
    </font>
    <font>
      <sz val="10"/>
      <color indexed="10"/>
      <name val="Arial"/>
      <family val="2"/>
    </font>
    <font>
      <sz val="12"/>
      <name val="Arial"/>
      <family val="2"/>
    </font>
    <font>
      <sz val="10"/>
      <name val="Courier"/>
      <family val="3"/>
    </font>
    <font>
      <sz val="12"/>
      <color indexed="12"/>
      <name val="Arial"/>
      <family val="2"/>
    </font>
    <font>
      <b/>
      <sz val="12"/>
      <color indexed="10"/>
      <name val="Arial"/>
      <family val="2"/>
    </font>
    <font>
      <sz val="12"/>
      <color indexed="10"/>
      <name val="Arial"/>
      <family val="2"/>
    </font>
    <font>
      <b/>
      <sz val="10"/>
      <color indexed="10"/>
      <name val="Arial"/>
      <family val="2"/>
    </font>
    <font>
      <sz val="12"/>
      <name val="Arial MT"/>
      <family val="0"/>
    </font>
    <font>
      <sz val="10"/>
      <color indexed="12"/>
      <name val="Arial"/>
      <family val="2"/>
    </font>
    <font>
      <b/>
      <sz val="14"/>
      <name val="Arial"/>
      <family val="2"/>
    </font>
    <font>
      <sz val="12"/>
      <color indexed="12"/>
      <name val="Helv"/>
      <family val="0"/>
    </font>
    <font>
      <sz val="12"/>
      <name val="Helv"/>
      <family val="0"/>
    </font>
    <font>
      <b/>
      <sz val="12"/>
      <name val="Helv"/>
      <family val="0"/>
    </font>
    <font>
      <b/>
      <sz val="12"/>
      <color indexed="10"/>
      <name val="Helv"/>
      <family val="0"/>
    </font>
    <font>
      <b/>
      <sz val="12"/>
      <color indexed="12"/>
      <name val="Helv"/>
      <family val="0"/>
    </font>
    <font>
      <sz val="12"/>
      <color indexed="13"/>
      <name val="Arial"/>
      <family val="2"/>
    </font>
    <font>
      <b/>
      <sz val="12"/>
      <color indexed="13"/>
      <name val="Arial"/>
      <family val="2"/>
    </font>
    <font>
      <b/>
      <sz val="12"/>
      <color indexed="13"/>
      <name val="Helv"/>
      <family val="0"/>
    </font>
    <font>
      <sz val="14"/>
      <name val="Arial"/>
      <family val="2"/>
    </font>
    <font>
      <sz val="12"/>
      <name val="Arial Narrow"/>
      <family val="2"/>
    </font>
    <font>
      <b/>
      <sz val="12"/>
      <color indexed="10"/>
      <name val="Arial Narrow"/>
      <family val="2"/>
    </font>
    <font>
      <b/>
      <sz val="18"/>
      <name val="Arial"/>
      <family val="2"/>
    </font>
    <font>
      <sz val="12"/>
      <color indexed="10"/>
      <name val="Helv"/>
      <family val="0"/>
    </font>
    <font>
      <b/>
      <i/>
      <sz val="10"/>
      <name val="Arial"/>
      <family val="2"/>
    </font>
    <font>
      <b/>
      <sz val="10"/>
      <color indexed="10"/>
      <name val="Helv"/>
      <family val="0"/>
    </font>
    <font>
      <b/>
      <i/>
      <sz val="12"/>
      <name val="Arial"/>
      <family val="2"/>
    </font>
    <font>
      <b/>
      <i/>
      <sz val="12"/>
      <color indexed="14"/>
      <name val="Arial"/>
      <family val="2"/>
    </font>
    <font>
      <b/>
      <sz val="10"/>
      <color indexed="10"/>
      <name val="Arial Narrow"/>
      <family val="2"/>
    </font>
    <font>
      <sz val="10"/>
      <name val="Arial Narrow"/>
      <family val="2"/>
    </font>
    <font>
      <b/>
      <sz val="10"/>
      <color indexed="14"/>
      <name val="Arial"/>
      <family val="2"/>
    </font>
    <font>
      <sz val="11"/>
      <name val="Arial"/>
      <family val="2"/>
    </font>
    <font>
      <b/>
      <sz val="10"/>
      <name val="Arial Narrow"/>
      <family val="2"/>
    </font>
    <font>
      <b/>
      <sz val="14"/>
      <color indexed="10"/>
      <name val="Arial"/>
      <family val="2"/>
    </font>
    <font>
      <b/>
      <sz val="16"/>
      <color indexed="10"/>
      <name val="Arial"/>
      <family val="2"/>
    </font>
    <font>
      <b/>
      <sz val="9"/>
      <color indexed="10"/>
      <name val="Helv"/>
      <family val="0"/>
    </font>
    <font>
      <sz val="9"/>
      <name val="Arial Narrow"/>
      <family val="2"/>
    </font>
    <font>
      <sz val="9"/>
      <name val="Arial"/>
      <family val="2"/>
    </font>
    <font>
      <b/>
      <sz val="9"/>
      <name val="Arial Narrow"/>
      <family val="2"/>
    </font>
    <font>
      <b/>
      <sz val="12"/>
      <color indexed="13"/>
      <name val="Helvetica"/>
      <family val="2"/>
    </font>
    <font>
      <sz val="12"/>
      <color indexed="43"/>
      <name val="Arial"/>
      <family val="2"/>
    </font>
    <font>
      <b/>
      <u val="single"/>
      <sz val="10"/>
      <name val="Arial"/>
      <family val="2"/>
    </font>
    <font>
      <sz val="10"/>
      <color indexed="14"/>
      <name val="Arial"/>
      <family val="2"/>
    </font>
    <font>
      <b/>
      <sz val="11"/>
      <name val="Arial"/>
      <family val="2"/>
    </font>
    <font>
      <b/>
      <i/>
      <sz val="11"/>
      <name val="Arial Narrow"/>
      <family val="2"/>
    </font>
    <font>
      <sz val="9"/>
      <color indexed="10"/>
      <name val="Arial Narrow"/>
      <family val="2"/>
    </font>
    <font>
      <b/>
      <i/>
      <sz val="12"/>
      <name val="Arial Narrow"/>
      <family val="2"/>
    </font>
    <font>
      <sz val="8"/>
      <color indexed="10"/>
      <name val="Arial"/>
      <family val="2"/>
    </font>
    <font>
      <sz val="8"/>
      <color indexed="10"/>
      <name val="Arial Narrow"/>
      <family val="2"/>
    </font>
    <font>
      <sz val="10"/>
      <color indexed="10"/>
      <name val="Arial Narrow"/>
      <family val="2"/>
    </font>
    <font>
      <b/>
      <u val="single"/>
      <sz val="12"/>
      <name val="Arial"/>
      <family val="2"/>
    </font>
    <font>
      <b/>
      <sz val="16"/>
      <name val="Arial"/>
      <family val="2"/>
    </font>
    <font>
      <b/>
      <sz val="9"/>
      <name val="Arial"/>
      <family val="2"/>
    </font>
    <font>
      <sz val="14"/>
      <color indexed="10"/>
      <name val="Arial"/>
      <family val="2"/>
    </font>
    <font>
      <sz val="12"/>
      <color indexed="53"/>
      <name val="Arial"/>
      <family val="2"/>
    </font>
    <font>
      <sz val="10"/>
      <color indexed="53"/>
      <name val="Arial"/>
      <family val="2"/>
    </font>
    <font>
      <b/>
      <sz val="10"/>
      <color indexed="53"/>
      <name val="Arial"/>
      <family val="2"/>
    </font>
    <font>
      <sz val="10"/>
      <name val="MS Sans Serif"/>
      <family val="2"/>
    </font>
    <font>
      <b/>
      <sz val="10"/>
      <name val="MS Sans Serif"/>
      <family val="2"/>
    </font>
    <font>
      <sz val="16"/>
      <name val="Arial"/>
      <family val="2"/>
    </font>
    <font>
      <b/>
      <sz val="16"/>
      <color indexed="10"/>
      <name val="Helv"/>
      <family val="0"/>
    </font>
    <font>
      <sz val="16"/>
      <name val="Helv"/>
      <family val="0"/>
    </font>
    <font>
      <b/>
      <sz val="16"/>
      <name val="Arial Narrow"/>
      <family val="2"/>
    </font>
    <font>
      <sz val="16"/>
      <name val="Arial Narrow"/>
      <family val="2"/>
    </font>
    <font>
      <b/>
      <sz val="12"/>
      <color indexed="53"/>
      <name val="Arial"/>
      <family val="2"/>
    </font>
    <font>
      <sz val="8"/>
      <name val="Arial"/>
      <family val="2"/>
    </font>
    <font>
      <b/>
      <i/>
      <sz val="14"/>
      <name val="Arial Narrow"/>
      <family val="2"/>
    </font>
    <font>
      <i/>
      <sz val="10"/>
      <name val="Arial"/>
      <family val="2"/>
    </font>
    <font>
      <b/>
      <sz val="12"/>
      <color indexed="12"/>
      <name val="Arial"/>
      <family val="2"/>
    </font>
    <font>
      <b/>
      <sz val="14"/>
      <color indexed="12"/>
      <name val="Arial"/>
      <family val="2"/>
    </font>
    <font>
      <sz val="8"/>
      <name val="Arial MT"/>
      <family val="0"/>
    </font>
    <font>
      <sz val="12"/>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62"/>
      <name val="Cambria"/>
      <family val="2"/>
    </font>
    <font>
      <sz val="11"/>
      <color indexed="19"/>
      <name val="Calibri"/>
      <family val="2"/>
    </font>
    <font>
      <sz val="11"/>
      <color indexed="53"/>
      <name val="Calibri"/>
      <family val="2"/>
    </font>
    <font>
      <b/>
      <sz val="11"/>
      <color indexed="62"/>
      <name val="Calibri"/>
      <family val="2"/>
    </font>
    <font>
      <b/>
      <sz val="13"/>
      <color indexed="62"/>
      <name val="Calibri"/>
      <family val="2"/>
    </font>
    <font>
      <b/>
      <sz val="15"/>
      <color indexed="62"/>
      <name val="Calibri"/>
      <family val="2"/>
    </font>
    <font>
      <b/>
      <sz val="11"/>
      <color indexed="53"/>
      <name val="Calibri"/>
      <family val="2"/>
    </font>
    <font>
      <sz val="11"/>
      <color indexed="16"/>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indexed="11"/>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mediumGray">
        <fgColor indexed="22"/>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40"/>
        <bgColor indexed="64"/>
      </patternFill>
    </fill>
    <fill>
      <patternFill patternType="solid">
        <fgColor rgb="FFFFC00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medium"/>
      <bottom style="medium"/>
    </border>
    <border>
      <left style="medium"/>
      <right>
        <color indexed="63"/>
      </right>
      <top style="medium"/>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medium"/>
      <right>
        <color indexed="63"/>
      </right>
      <top>
        <color indexed="63"/>
      </top>
      <bottom style="medium"/>
    </border>
    <border>
      <left style="medium"/>
      <right>
        <color indexed="63"/>
      </right>
      <top>
        <color indexed="63"/>
      </top>
      <bottom style="thin"/>
    </border>
    <border>
      <left>
        <color indexed="63"/>
      </left>
      <right>
        <color indexed="63"/>
      </right>
      <top style="thin"/>
      <bottom style="thin"/>
    </border>
    <border>
      <left style="medium"/>
      <right style="medium"/>
      <top style="medium"/>
      <bottom style="medium"/>
    </border>
    <border>
      <left>
        <color indexed="63"/>
      </left>
      <right style="medium"/>
      <top style="medium"/>
      <bottom style="medium"/>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0"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101" fillId="25" borderId="0" applyNumberFormat="0" applyBorder="0" applyAlignment="0" applyProtection="0"/>
    <xf numFmtId="0" fontId="102" fillId="26" borderId="1" applyNumberFormat="0" applyAlignment="0" applyProtection="0"/>
    <xf numFmtId="0" fontId="8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03" fillId="0" borderId="0" applyNumberFormat="0" applyFill="0" applyBorder="0" applyAlignment="0" applyProtection="0"/>
    <xf numFmtId="0" fontId="2" fillId="0" borderId="0" applyNumberFormat="0" applyFill="0" applyBorder="0" applyAlignment="0" applyProtection="0"/>
    <xf numFmtId="0" fontId="104" fillId="28" borderId="0" applyNumberFormat="0" applyBorder="0" applyAlignment="0" applyProtection="0"/>
    <xf numFmtId="0" fontId="105" fillId="0" borderId="3" applyNumberFormat="0" applyFill="0" applyAlignment="0" applyProtection="0"/>
    <xf numFmtId="0" fontId="106" fillId="0" borderId="4" applyNumberFormat="0" applyFill="0" applyAlignment="0" applyProtection="0"/>
    <xf numFmtId="0" fontId="107" fillId="0" borderId="5" applyNumberFormat="0" applyFill="0" applyAlignment="0" applyProtection="0"/>
    <xf numFmtId="0" fontId="107" fillId="0" borderId="0" applyNumberFormat="0" applyFill="0" applyBorder="0" applyAlignment="0" applyProtection="0"/>
    <xf numFmtId="0" fontId="3" fillId="0" borderId="0" applyNumberFormat="0" applyFill="0" applyBorder="0" applyAlignment="0" applyProtection="0"/>
    <xf numFmtId="0" fontId="108" fillId="29" borderId="1" applyNumberFormat="0" applyAlignment="0" applyProtection="0"/>
    <xf numFmtId="0" fontId="109" fillId="0" borderId="6" applyNumberFormat="0" applyFill="0" applyAlignment="0" applyProtection="0"/>
    <xf numFmtId="0" fontId="110"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76" fillId="0" borderId="0">
      <alignment/>
      <protection/>
    </xf>
    <xf numFmtId="165" fontId="7" fillId="0" borderId="0">
      <alignment/>
      <protection/>
    </xf>
    <xf numFmtId="0" fontId="0" fillId="0" borderId="0">
      <alignment/>
      <protection/>
    </xf>
    <xf numFmtId="0" fontId="0" fillId="0" borderId="0">
      <alignment/>
      <protection/>
    </xf>
    <xf numFmtId="0" fontId="0" fillId="0" borderId="0">
      <alignment/>
      <protection/>
    </xf>
    <xf numFmtId="170" fontId="12" fillId="0" borderId="0" applyProtection="0">
      <alignment/>
    </xf>
    <xf numFmtId="0" fontId="74"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111" fillId="26"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1" fillId="0" borderId="0" applyNumberFormat="0" applyFont="0" applyFill="0" applyBorder="0" applyAlignment="0" applyProtection="0"/>
    <xf numFmtId="15" fontId="61" fillId="0" borderId="0" applyFont="0" applyFill="0" applyBorder="0" applyAlignment="0" applyProtection="0"/>
    <xf numFmtId="4" fontId="61" fillId="0" borderId="0" applyFont="0" applyFill="0" applyBorder="0" applyAlignment="0" applyProtection="0"/>
    <xf numFmtId="0" fontId="62" fillId="0" borderId="9">
      <alignment horizontal="center"/>
      <protection/>
    </xf>
    <xf numFmtId="3" fontId="61" fillId="0" borderId="0" applyFont="0" applyFill="0" applyBorder="0" applyAlignment="0" applyProtection="0"/>
    <xf numFmtId="0" fontId="61" fillId="32" borderId="0" applyNumberFormat="0" applyFont="0" applyBorder="0" applyAlignment="0" applyProtection="0"/>
    <xf numFmtId="0" fontId="112" fillId="0" borderId="0" applyNumberFormat="0" applyFill="0" applyBorder="0" applyAlignment="0" applyProtection="0"/>
    <xf numFmtId="0" fontId="91" fillId="0" borderId="10" applyNumberFormat="0" applyFill="0" applyAlignment="0" applyProtection="0"/>
    <xf numFmtId="0" fontId="92" fillId="0" borderId="0" applyNumberFormat="0" applyFill="0" applyBorder="0" applyAlignment="0" applyProtection="0"/>
  </cellStyleXfs>
  <cellXfs count="1168">
    <xf numFmtId="0" fontId="0" fillId="0" borderId="0" xfId="0" applyAlignment="1">
      <alignment/>
    </xf>
    <xf numFmtId="0" fontId="4" fillId="0" borderId="0" xfId="0" applyFont="1" applyAlignment="1">
      <alignment/>
    </xf>
    <xf numFmtId="0" fontId="0" fillId="0" borderId="0" xfId="0" applyFill="1" applyAlignment="1">
      <alignment/>
    </xf>
    <xf numFmtId="0" fontId="6" fillId="0" borderId="0" xfId="0" applyNumberFormat="1" applyFont="1" applyAlignment="1">
      <alignment/>
    </xf>
    <xf numFmtId="0" fontId="6" fillId="0" borderId="0" xfId="0" applyNumberFormat="1" applyFont="1" applyAlignment="1">
      <alignment horizontal="left"/>
    </xf>
    <xf numFmtId="3" fontId="6" fillId="0" borderId="0" xfId="0" applyNumberFormat="1" applyFont="1" applyAlignment="1">
      <alignment/>
    </xf>
    <xf numFmtId="0" fontId="6" fillId="0" borderId="0" xfId="0" applyNumberFormat="1" applyFont="1" applyAlignment="1">
      <alignment horizontal="center"/>
    </xf>
    <xf numFmtId="3" fontId="6" fillId="0" borderId="0" xfId="0" applyNumberFormat="1" applyFont="1" applyAlignment="1">
      <alignment/>
    </xf>
    <xf numFmtId="169" fontId="6" fillId="0" borderId="0" xfId="0" applyNumberFormat="1" applyFont="1" applyAlignment="1">
      <alignment/>
    </xf>
    <xf numFmtId="3" fontId="6" fillId="0" borderId="0" xfId="0" applyNumberFormat="1" applyFont="1" applyFill="1" applyBorder="1" applyAlignment="1">
      <alignment/>
    </xf>
    <xf numFmtId="0" fontId="6" fillId="0" borderId="0" xfId="0" applyFont="1" applyAlignment="1">
      <alignment/>
    </xf>
    <xf numFmtId="3" fontId="6" fillId="0" borderId="0" xfId="0" applyNumberFormat="1" applyFont="1" applyFill="1" applyAlignment="1">
      <alignment/>
    </xf>
    <xf numFmtId="0" fontId="4" fillId="0" borderId="0" xfId="0" applyNumberFormat="1" applyFont="1" applyAlignment="1">
      <alignment horizontal="center"/>
    </xf>
    <xf numFmtId="3" fontId="4" fillId="0" borderId="0" xfId="0" applyNumberFormat="1" applyFont="1" applyAlignment="1">
      <alignment/>
    </xf>
    <xf numFmtId="0" fontId="4" fillId="0" borderId="0" xfId="0" applyNumberFormat="1" applyFont="1" applyAlignment="1">
      <alignment/>
    </xf>
    <xf numFmtId="168" fontId="6" fillId="0" borderId="0" xfId="0" applyNumberFormat="1" applyFont="1" applyAlignment="1">
      <alignment horizontal="center"/>
    </xf>
    <xf numFmtId="168" fontId="6" fillId="0" borderId="0" xfId="0" applyNumberFormat="1" applyFont="1" applyAlignment="1">
      <alignment horizontal="left"/>
    </xf>
    <xf numFmtId="169" fontId="6" fillId="0" borderId="0" xfId="0" applyNumberFormat="1" applyFont="1" applyAlignment="1">
      <alignment horizontal="center"/>
    </xf>
    <xf numFmtId="10" fontId="6" fillId="0" borderId="0" xfId="0" applyNumberFormat="1" applyFont="1" applyFill="1" applyAlignment="1">
      <alignment horizontal="right"/>
    </xf>
    <xf numFmtId="3" fontId="6" fillId="0" borderId="0" xfId="0" applyNumberFormat="1" applyFont="1" applyFill="1" applyAlignment="1">
      <alignment horizontal="right"/>
    </xf>
    <xf numFmtId="3" fontId="6" fillId="0" borderId="0" xfId="0" applyNumberFormat="1" applyFont="1" applyAlignment="1">
      <alignment horizontal="center"/>
    </xf>
    <xf numFmtId="3" fontId="6" fillId="0" borderId="0" xfId="0" applyNumberFormat="1" applyFont="1" applyBorder="1" applyAlignment="1">
      <alignment horizontal="center"/>
    </xf>
    <xf numFmtId="166" fontId="6" fillId="0" borderId="0" xfId="0" applyNumberFormat="1" applyFont="1" applyAlignment="1">
      <alignment/>
    </xf>
    <xf numFmtId="170" fontId="6" fillId="0" borderId="0" xfId="0" applyNumberFormat="1" applyFont="1" applyAlignment="1">
      <alignment/>
    </xf>
    <xf numFmtId="0" fontId="4" fillId="0" borderId="0" xfId="0" applyNumberFormat="1" applyFont="1" applyFill="1" applyAlignment="1">
      <alignment/>
    </xf>
    <xf numFmtId="3" fontId="6" fillId="0" borderId="0" xfId="0" applyNumberFormat="1" applyFont="1" applyBorder="1" applyAlignment="1">
      <alignment/>
    </xf>
    <xf numFmtId="0" fontId="6" fillId="0" borderId="0" xfId="0" applyNumberFormat="1" applyFont="1" applyFill="1" applyAlignment="1">
      <alignment/>
    </xf>
    <xf numFmtId="0" fontId="6" fillId="0" borderId="0" xfId="0" applyFont="1" applyFill="1" applyAlignment="1">
      <alignment/>
    </xf>
    <xf numFmtId="3" fontId="6" fillId="0" borderId="0" xfId="0" applyNumberFormat="1" applyFont="1" applyFill="1" applyAlignment="1">
      <alignment horizontal="center"/>
    </xf>
    <xf numFmtId="0" fontId="6" fillId="0" borderId="0" xfId="0" applyNumberFormat="1" applyFont="1" applyFill="1" applyAlignment="1">
      <alignment horizontal="center"/>
    </xf>
    <xf numFmtId="3" fontId="6" fillId="0" borderId="0" xfId="0" applyNumberFormat="1" applyFont="1" applyAlignment="1" quotePrefix="1">
      <alignment horizontal="right"/>
    </xf>
    <xf numFmtId="0" fontId="6" fillId="0" borderId="0" xfId="0" applyNumberFormat="1" applyFont="1" applyAlignment="1">
      <alignment horizontal="center"/>
    </xf>
    <xf numFmtId="0" fontId="6" fillId="0" borderId="0" xfId="0" applyFont="1" applyAlignment="1">
      <alignment/>
    </xf>
    <xf numFmtId="0" fontId="12" fillId="0" borderId="0" xfId="0" applyNumberFormat="1" applyFont="1" applyFill="1" applyAlignment="1">
      <alignment/>
    </xf>
    <xf numFmtId="3" fontId="6" fillId="0" borderId="11" xfId="0" applyNumberFormat="1" applyFont="1" applyBorder="1" applyAlignment="1">
      <alignment/>
    </xf>
    <xf numFmtId="0" fontId="6" fillId="0" borderId="0" xfId="0" applyFont="1" applyAlignment="1">
      <alignment/>
    </xf>
    <xf numFmtId="0" fontId="6" fillId="0" borderId="0" xfId="0" applyFont="1" applyFill="1" applyBorder="1" applyAlignment="1">
      <alignment/>
    </xf>
    <xf numFmtId="0" fontId="6" fillId="0" borderId="0" xfId="0" applyFont="1" applyBorder="1" applyAlignment="1">
      <alignment/>
    </xf>
    <xf numFmtId="173" fontId="4" fillId="0" borderId="0" xfId="78" applyNumberFormat="1" applyFont="1" applyAlignment="1">
      <alignment/>
    </xf>
    <xf numFmtId="0" fontId="4" fillId="0" borderId="11" xfId="0" applyNumberFormat="1" applyFont="1" applyFill="1" applyBorder="1" applyAlignment="1">
      <alignment/>
    </xf>
    <xf numFmtId="0" fontId="4" fillId="0" borderId="12" xfId="0" applyNumberFormat="1" applyFont="1" applyFill="1" applyBorder="1" applyAlignment="1">
      <alignment/>
    </xf>
    <xf numFmtId="3" fontId="4" fillId="0" borderId="12" xfId="0" applyNumberFormat="1" applyFont="1" applyBorder="1" applyAlignment="1">
      <alignment/>
    </xf>
    <xf numFmtId="3" fontId="6" fillId="0" borderId="0" xfId="0" applyNumberFormat="1" applyFont="1" applyFill="1" applyBorder="1" applyAlignment="1">
      <alignment/>
    </xf>
    <xf numFmtId="0" fontId="4" fillId="0" borderId="12" xfId="0" applyFont="1" applyBorder="1" applyAlignment="1">
      <alignment/>
    </xf>
    <xf numFmtId="3" fontId="4" fillId="0" borderId="12" xfId="0" applyNumberFormat="1" applyFont="1" applyBorder="1" applyAlignment="1">
      <alignment/>
    </xf>
    <xf numFmtId="0" fontId="4" fillId="0" borderId="0" xfId="0" applyNumberFormat="1" applyFont="1" applyFill="1" applyAlignment="1">
      <alignment horizontal="center"/>
    </xf>
    <xf numFmtId="0" fontId="6" fillId="0" borderId="0" xfId="0" applyNumberFormat="1" applyFont="1" applyFill="1" applyBorder="1" applyAlignment="1">
      <alignment/>
    </xf>
    <xf numFmtId="0" fontId="6" fillId="0" borderId="11" xfId="0" applyNumberFormat="1" applyFont="1" applyFill="1" applyBorder="1" applyAlignment="1">
      <alignment/>
    </xf>
    <xf numFmtId="0" fontId="6" fillId="0" borderId="11" xfId="0" applyFont="1" applyFill="1" applyBorder="1" applyAlignment="1">
      <alignment/>
    </xf>
    <xf numFmtId="0" fontId="4" fillId="0" borderId="0" xfId="0" applyNumberFormat="1" applyFont="1" applyFill="1" applyBorder="1" applyAlignment="1">
      <alignment/>
    </xf>
    <xf numFmtId="0" fontId="6" fillId="0" borderId="0" xfId="0" applyFont="1" applyAlignment="1">
      <alignment/>
    </xf>
    <xf numFmtId="0" fontId="6" fillId="0" borderId="0" xfId="0" applyNumberFormat="1" applyFont="1" applyAlignment="1">
      <alignment horizontal="left"/>
    </xf>
    <xf numFmtId="0" fontId="6" fillId="0" borderId="0" xfId="0" applyNumberFormat="1" applyFont="1" applyFill="1" applyAlignment="1">
      <alignment horizontal="right"/>
    </xf>
    <xf numFmtId="0" fontId="6" fillId="0" borderId="0" xfId="0" applyNumberFormat="1" applyFont="1" applyFill="1" applyAlignment="1">
      <alignment horizontal="left"/>
    </xf>
    <xf numFmtId="0" fontId="6" fillId="0" borderId="0" xfId="0" applyFont="1" applyFill="1" applyAlignment="1">
      <alignment/>
    </xf>
    <xf numFmtId="0" fontId="6" fillId="0" borderId="0" xfId="0" applyFont="1" applyFill="1" applyAlignment="1">
      <alignment/>
    </xf>
    <xf numFmtId="0" fontId="6" fillId="0" borderId="11" xfId="0" applyFont="1" applyFill="1" applyBorder="1" applyAlignment="1">
      <alignment/>
    </xf>
    <xf numFmtId="0" fontId="6" fillId="0" borderId="11" xfId="0" applyFont="1" applyBorder="1" applyAlignment="1">
      <alignment/>
    </xf>
    <xf numFmtId="0" fontId="6" fillId="0" borderId="11" xfId="0" applyFont="1" applyFill="1" applyBorder="1" applyAlignment="1">
      <alignment/>
    </xf>
    <xf numFmtId="3" fontId="6" fillId="0" borderId="11" xfId="0" applyNumberFormat="1" applyFont="1" applyFill="1" applyBorder="1" applyAlignment="1">
      <alignment/>
    </xf>
    <xf numFmtId="0" fontId="6" fillId="0" borderId="11" xfId="0" applyFont="1" applyBorder="1" applyAlignment="1">
      <alignment/>
    </xf>
    <xf numFmtId="0" fontId="6" fillId="0" borderId="0" xfId="0" applyFont="1" applyFill="1" applyBorder="1" applyAlignment="1">
      <alignment/>
    </xf>
    <xf numFmtId="3" fontId="15" fillId="0" borderId="0" xfId="0" applyNumberFormat="1" applyFont="1" applyAlignment="1">
      <alignment horizontal="right"/>
    </xf>
    <xf numFmtId="0" fontId="6" fillId="0" borderId="0" xfId="0" applyFont="1" applyBorder="1" applyAlignment="1">
      <alignment/>
    </xf>
    <xf numFmtId="173" fontId="6" fillId="0" borderId="0" xfId="0" applyNumberFormat="1" applyFont="1" applyAlignment="1">
      <alignment horizontal="right"/>
    </xf>
    <xf numFmtId="3" fontId="16" fillId="0" borderId="0" xfId="0" applyNumberFormat="1" applyFont="1" applyBorder="1" applyAlignment="1">
      <alignment horizontal="right"/>
    </xf>
    <xf numFmtId="0" fontId="6" fillId="0" borderId="0" xfId="0" applyFont="1" applyFill="1" applyAlignment="1">
      <alignment horizontal="left"/>
    </xf>
    <xf numFmtId="0" fontId="6" fillId="0" borderId="0" xfId="0" applyFont="1" applyAlignment="1">
      <alignment horizontal="left"/>
    </xf>
    <xf numFmtId="3" fontId="6" fillId="0" borderId="11" xfId="0" applyNumberFormat="1" applyFont="1" applyBorder="1" applyAlignment="1">
      <alignment horizontal="right"/>
    </xf>
    <xf numFmtId="0" fontId="4" fillId="0" borderId="11" xfId="0" applyFont="1" applyBorder="1" applyAlignment="1">
      <alignment/>
    </xf>
    <xf numFmtId="3" fontId="19" fillId="0" borderId="11" xfId="0" applyNumberFormat="1" applyFont="1" applyBorder="1" applyAlignment="1">
      <alignment horizontal="right"/>
    </xf>
    <xf numFmtId="3" fontId="4" fillId="0" borderId="11" xfId="0" applyNumberFormat="1" applyFont="1" applyBorder="1" applyAlignment="1">
      <alignment/>
    </xf>
    <xf numFmtId="0" fontId="4" fillId="0" borderId="11" xfId="0" applyFont="1" applyBorder="1" applyAlignment="1">
      <alignment horizontal="left"/>
    </xf>
    <xf numFmtId="0" fontId="4" fillId="0" borderId="0" xfId="0" applyFont="1" applyAlignment="1">
      <alignment/>
    </xf>
    <xf numFmtId="3" fontId="4" fillId="0" borderId="11" xfId="0" applyNumberFormat="1" applyFont="1" applyBorder="1" applyAlignment="1">
      <alignment horizontal="right"/>
    </xf>
    <xf numFmtId="0" fontId="6" fillId="0" borderId="0" xfId="0" applyFont="1" applyAlignment="1">
      <alignment horizontal="right"/>
    </xf>
    <xf numFmtId="166" fontId="4" fillId="0" borderId="0" xfId="0" applyNumberFormat="1" applyFont="1" applyAlignment="1">
      <alignment/>
    </xf>
    <xf numFmtId="0" fontId="6" fillId="0" borderId="0" xfId="0" applyNumberFormat="1" applyFont="1" applyFill="1" applyAlignment="1">
      <alignment horizontal="center"/>
    </xf>
    <xf numFmtId="0" fontId="6" fillId="0" borderId="0" xfId="0" applyNumberFormat="1" applyFont="1" applyBorder="1" applyAlignment="1">
      <alignment horizontal="center"/>
    </xf>
    <xf numFmtId="0" fontId="6" fillId="0" borderId="0" xfId="0" applyNumberFormat="1" applyFont="1" applyBorder="1" applyAlignment="1">
      <alignment horizontal="left"/>
    </xf>
    <xf numFmtId="0" fontId="6" fillId="0" borderId="0" xfId="0" applyFont="1" applyFill="1" applyBorder="1" applyAlignment="1">
      <alignment/>
    </xf>
    <xf numFmtId="3" fontId="15" fillId="0" borderId="0" xfId="0" applyNumberFormat="1" applyFont="1" applyBorder="1" applyAlignment="1">
      <alignment horizontal="right"/>
    </xf>
    <xf numFmtId="0" fontId="6" fillId="0" borderId="0" xfId="0" applyFont="1" applyBorder="1" applyAlignment="1">
      <alignment/>
    </xf>
    <xf numFmtId="3" fontId="15" fillId="0" borderId="11" xfId="0" applyNumberFormat="1" applyFont="1" applyBorder="1" applyAlignment="1">
      <alignment horizontal="right"/>
    </xf>
    <xf numFmtId="0" fontId="4" fillId="0" borderId="0" xfId="0" applyNumberFormat="1" applyFont="1" applyBorder="1" applyAlignment="1">
      <alignment/>
    </xf>
    <xf numFmtId="3" fontId="4" fillId="0" borderId="0" xfId="0" applyNumberFormat="1" applyFont="1" applyBorder="1" applyAlignment="1">
      <alignment/>
    </xf>
    <xf numFmtId="3" fontId="4" fillId="0" borderId="0" xfId="0" applyNumberFormat="1" applyFont="1" applyBorder="1" applyAlignment="1" quotePrefix="1">
      <alignment horizontal="right"/>
    </xf>
    <xf numFmtId="168" fontId="6" fillId="0" borderId="0" xfId="0" applyNumberFormat="1" applyFont="1" applyBorder="1" applyAlignment="1">
      <alignment horizontal="left"/>
    </xf>
    <xf numFmtId="3" fontId="6" fillId="0" borderId="0" xfId="0" applyNumberFormat="1" applyFont="1" applyAlignment="1">
      <alignment/>
    </xf>
    <xf numFmtId="0" fontId="4" fillId="0" borderId="11" xfId="0" applyNumberFormat="1" applyFont="1" applyBorder="1" applyAlignment="1">
      <alignment/>
    </xf>
    <xf numFmtId="0" fontId="21" fillId="33" borderId="0" xfId="0" applyFont="1" applyFill="1" applyBorder="1" applyAlignment="1">
      <alignment/>
    </xf>
    <xf numFmtId="0" fontId="21" fillId="33" borderId="0" xfId="0" applyFont="1" applyFill="1" applyBorder="1" applyAlignment="1">
      <alignment horizontal="left"/>
    </xf>
    <xf numFmtId="0" fontId="6" fillId="0" borderId="0" xfId="0" applyFont="1" applyAlignment="1">
      <alignment horizontal="center"/>
    </xf>
    <xf numFmtId="0" fontId="6" fillId="0" borderId="0" xfId="0" applyFont="1" applyAlignment="1">
      <alignment horizontal="center"/>
    </xf>
    <xf numFmtId="0" fontId="6" fillId="0" borderId="0" xfId="0" applyFont="1" applyFill="1" applyAlignment="1">
      <alignment horizontal="center"/>
    </xf>
    <xf numFmtId="0" fontId="16" fillId="0" borderId="13" xfId="0" applyNumberFormat="1" applyFont="1" applyFill="1" applyBorder="1" applyAlignment="1">
      <alignment horizontal="left"/>
    </xf>
    <xf numFmtId="0" fontId="6" fillId="0" borderId="13" xfId="0" applyFont="1" applyFill="1" applyBorder="1" applyAlignment="1">
      <alignment horizontal="left"/>
    </xf>
    <xf numFmtId="0" fontId="6" fillId="0" borderId="13" xfId="0" applyNumberFormat="1" applyFont="1" applyBorder="1" applyAlignment="1">
      <alignment horizontal="left"/>
    </xf>
    <xf numFmtId="3" fontId="15" fillId="0" borderId="13" xfId="0" applyNumberFormat="1" applyFont="1" applyBorder="1" applyAlignment="1">
      <alignment horizontal="right"/>
    </xf>
    <xf numFmtId="0" fontId="6" fillId="0" borderId="0" xfId="0" applyFont="1" applyFill="1" applyBorder="1" applyAlignment="1">
      <alignment horizontal="left"/>
    </xf>
    <xf numFmtId="0" fontId="6" fillId="0" borderId="0" xfId="0" applyFont="1" applyFill="1" applyAlignment="1">
      <alignment horizontal="center"/>
    </xf>
    <xf numFmtId="0" fontId="6" fillId="0" borderId="13" xfId="0" applyFont="1" applyBorder="1" applyAlignment="1">
      <alignment/>
    </xf>
    <xf numFmtId="0" fontId="4" fillId="0" borderId="12" xfId="0" applyFont="1" applyBorder="1" applyAlignment="1">
      <alignment horizontal="right"/>
    </xf>
    <xf numFmtId="0" fontId="4" fillId="0" borderId="0" xfId="0" applyNumberFormat="1" applyFont="1" applyAlignment="1">
      <alignment horizontal="left"/>
    </xf>
    <xf numFmtId="0" fontId="6" fillId="0" borderId="0" xfId="0" applyFont="1" applyFill="1" applyAlignment="1">
      <alignment horizontal="right"/>
    </xf>
    <xf numFmtId="0" fontId="6" fillId="0" borderId="0" xfId="0" applyFont="1" applyFill="1" applyBorder="1" applyAlignment="1">
      <alignment/>
    </xf>
    <xf numFmtId="0" fontId="4" fillId="0" borderId="12" xfId="0" applyFont="1" applyBorder="1" applyAlignment="1">
      <alignment/>
    </xf>
    <xf numFmtId="173" fontId="4" fillId="0" borderId="12" xfId="78" applyNumberFormat="1" applyFont="1" applyBorder="1" applyAlignment="1">
      <alignment/>
    </xf>
    <xf numFmtId="0" fontId="6" fillId="0" borderId="12" xfId="0" applyFont="1" applyBorder="1" applyAlignment="1">
      <alignment/>
    </xf>
    <xf numFmtId="3" fontId="6" fillId="0" borderId="13" xfId="0" applyNumberFormat="1" applyFont="1" applyBorder="1" applyAlignment="1">
      <alignment/>
    </xf>
    <xf numFmtId="3" fontId="6" fillId="0" borderId="13" xfId="0" applyNumberFormat="1" applyFont="1" applyBorder="1" applyAlignment="1">
      <alignment horizontal="right"/>
    </xf>
    <xf numFmtId="3" fontId="6" fillId="0" borderId="13" xfId="0" applyNumberFormat="1" applyFont="1" applyFill="1" applyBorder="1" applyAlignment="1">
      <alignment/>
    </xf>
    <xf numFmtId="168" fontId="4" fillId="0" borderId="12" xfId="0" applyNumberFormat="1" applyFont="1" applyBorder="1" applyAlignment="1">
      <alignment horizontal="left"/>
    </xf>
    <xf numFmtId="169" fontId="4" fillId="0" borderId="12" xfId="0" applyNumberFormat="1" applyFont="1" applyBorder="1" applyAlignment="1">
      <alignment horizontal="center"/>
    </xf>
    <xf numFmtId="0" fontId="6" fillId="0" borderId="0" xfId="0" applyFont="1" applyFill="1" applyBorder="1" applyAlignment="1">
      <alignment horizontal="center" wrapText="1"/>
    </xf>
    <xf numFmtId="0" fontId="6" fillId="33" borderId="0" xfId="0" applyFont="1" applyFill="1" applyBorder="1" applyAlignment="1">
      <alignment/>
    </xf>
    <xf numFmtId="0" fontId="6" fillId="33" borderId="0" xfId="0" applyFont="1" applyFill="1" applyBorder="1" applyAlignment="1">
      <alignment/>
    </xf>
    <xf numFmtId="0" fontId="6" fillId="0" borderId="12" xfId="0" applyFont="1" applyFill="1" applyBorder="1" applyAlignment="1">
      <alignment/>
    </xf>
    <xf numFmtId="0" fontId="6" fillId="0" borderId="12" xfId="0" applyFont="1" applyBorder="1" applyAlignment="1">
      <alignment/>
    </xf>
    <xf numFmtId="0" fontId="20" fillId="0" borderId="0" xfId="0" applyFont="1" applyFill="1" applyBorder="1" applyAlignment="1">
      <alignment horizontal="center"/>
    </xf>
    <xf numFmtId="0" fontId="21" fillId="0" borderId="0" xfId="0" applyFont="1" applyFill="1" applyBorder="1" applyAlignment="1">
      <alignment/>
    </xf>
    <xf numFmtId="0" fontId="22" fillId="33" borderId="0" xfId="0" applyFont="1" applyFill="1" applyAlignment="1">
      <alignment horizontal="left"/>
    </xf>
    <xf numFmtId="0" fontId="22" fillId="33" borderId="0" xfId="0" applyFont="1" applyFill="1" applyAlignment="1">
      <alignment/>
    </xf>
    <xf numFmtId="0" fontId="17" fillId="33" borderId="0" xfId="0" applyNumberFormat="1" applyFont="1" applyFill="1" applyAlignment="1">
      <alignment horizontal="left"/>
    </xf>
    <xf numFmtId="0" fontId="6" fillId="33" borderId="0" xfId="0" applyFont="1" applyFill="1" applyAlignment="1">
      <alignment/>
    </xf>
    <xf numFmtId="0" fontId="6" fillId="33" borderId="0" xfId="0" applyFont="1" applyFill="1" applyAlignment="1">
      <alignment/>
    </xf>
    <xf numFmtId="0" fontId="6" fillId="33" borderId="0" xfId="0" applyFont="1" applyFill="1" applyBorder="1" applyAlignment="1">
      <alignment horizontal="center" wrapText="1"/>
    </xf>
    <xf numFmtId="0" fontId="6" fillId="0" borderId="0" xfId="0" applyNumberFormat="1" applyFont="1" applyBorder="1" applyAlignment="1">
      <alignment/>
    </xf>
    <xf numFmtId="0" fontId="4" fillId="0" borderId="0" xfId="0" applyFont="1" applyBorder="1" applyAlignment="1">
      <alignment/>
    </xf>
    <xf numFmtId="173" fontId="6" fillId="0" borderId="0" xfId="0" applyNumberFormat="1" applyFont="1" applyBorder="1" applyAlignment="1">
      <alignment horizontal="right"/>
    </xf>
    <xf numFmtId="0" fontId="16" fillId="0" borderId="0" xfId="0" applyFont="1" applyAlignment="1">
      <alignment/>
    </xf>
    <xf numFmtId="3" fontId="4" fillId="0" borderId="0" xfId="0" applyNumberFormat="1" applyFont="1" applyFill="1" applyBorder="1" applyAlignment="1">
      <alignment/>
    </xf>
    <xf numFmtId="169" fontId="4" fillId="0" borderId="12" xfId="0" applyNumberFormat="1" applyFont="1" applyBorder="1" applyAlignment="1">
      <alignment/>
    </xf>
    <xf numFmtId="168" fontId="4" fillId="0" borderId="0" xfId="0" applyNumberFormat="1" applyFont="1" applyBorder="1" applyAlignment="1">
      <alignment horizontal="left"/>
    </xf>
    <xf numFmtId="174" fontId="6" fillId="0" borderId="0" xfId="78" applyNumberFormat="1" applyFont="1" applyFill="1" applyAlignment="1">
      <alignment horizontal="right"/>
    </xf>
    <xf numFmtId="0" fontId="4" fillId="0" borderId="11" xfId="0" applyFont="1" applyFill="1" applyBorder="1" applyAlignment="1">
      <alignment/>
    </xf>
    <xf numFmtId="0" fontId="4" fillId="0" borderId="11" xfId="0" applyFont="1" applyBorder="1" applyAlignment="1">
      <alignment/>
    </xf>
    <xf numFmtId="37" fontId="16" fillId="0" borderId="0" xfId="0" applyNumberFormat="1" applyFont="1" applyBorder="1" applyAlignment="1">
      <alignment horizontal="left"/>
    </xf>
    <xf numFmtId="0" fontId="4" fillId="0" borderId="0" xfId="0" applyFont="1" applyFill="1" applyBorder="1" applyAlignment="1">
      <alignment/>
    </xf>
    <xf numFmtId="0" fontId="5" fillId="0" borderId="0" xfId="0" applyFont="1" applyAlignment="1">
      <alignment/>
    </xf>
    <xf numFmtId="0" fontId="23" fillId="0" borderId="14" xfId="0" applyNumberFormat="1" applyFont="1" applyBorder="1" applyAlignment="1">
      <alignment horizontal="center"/>
    </xf>
    <xf numFmtId="0" fontId="14" fillId="0" borderId="14" xfId="0" applyFont="1" applyFill="1" applyBorder="1" applyAlignment="1">
      <alignment/>
    </xf>
    <xf numFmtId="0" fontId="23" fillId="0" borderId="14" xfId="0" applyFont="1" applyBorder="1" applyAlignment="1">
      <alignment/>
    </xf>
    <xf numFmtId="3" fontId="14" fillId="0" borderId="14" xfId="0" applyNumberFormat="1" applyFont="1" applyBorder="1" applyAlignment="1">
      <alignment/>
    </xf>
    <xf numFmtId="0" fontId="14" fillId="0" borderId="15" xfId="0" applyNumberFormat="1" applyFont="1" applyBorder="1" applyAlignment="1">
      <alignment horizontal="center"/>
    </xf>
    <xf numFmtId="0" fontId="14" fillId="0" borderId="14" xfId="0" applyNumberFormat="1" applyFont="1" applyBorder="1" applyAlignment="1">
      <alignment horizontal="left"/>
    </xf>
    <xf numFmtId="0" fontId="14" fillId="0" borderId="14" xfId="0" applyFont="1" applyFill="1" applyBorder="1" applyAlignment="1">
      <alignment/>
    </xf>
    <xf numFmtId="0" fontId="14" fillId="0" borderId="14" xfId="0" applyFont="1" applyBorder="1" applyAlignment="1">
      <alignment/>
    </xf>
    <xf numFmtId="164" fontId="6" fillId="0" borderId="0" xfId="42" applyNumberFormat="1" applyFont="1" applyAlignment="1">
      <alignment/>
    </xf>
    <xf numFmtId="3" fontId="15" fillId="0" borderId="0" xfId="0" applyNumberFormat="1" applyFont="1" applyFill="1" applyAlignment="1">
      <alignment horizontal="right"/>
    </xf>
    <xf numFmtId="0" fontId="6" fillId="0" borderId="13" xfId="0" applyNumberFormat="1" applyFont="1" applyFill="1" applyBorder="1" applyAlignment="1">
      <alignment horizontal="left"/>
    </xf>
    <xf numFmtId="0" fontId="4" fillId="0" borderId="14" xfId="0" applyFont="1" applyBorder="1" applyAlignment="1">
      <alignment/>
    </xf>
    <xf numFmtId="0" fontId="14" fillId="0" borderId="0" xfId="0" applyNumberFormat="1" applyFont="1" applyBorder="1" applyAlignment="1">
      <alignment horizontal="center"/>
    </xf>
    <xf numFmtId="0" fontId="14" fillId="0" borderId="14" xfId="0" applyNumberFormat="1" applyFont="1" applyBorder="1" applyAlignment="1">
      <alignment horizontal="center"/>
    </xf>
    <xf numFmtId="0" fontId="4" fillId="0" borderId="0" xfId="0" applyNumberFormat="1" applyFont="1" applyBorder="1" applyAlignment="1">
      <alignment horizontal="left"/>
    </xf>
    <xf numFmtId="0" fontId="6" fillId="0" borderId="0" xfId="0" applyNumberFormat="1" applyFont="1" applyFill="1" applyAlignment="1">
      <alignment horizontal="left"/>
    </xf>
    <xf numFmtId="0" fontId="6" fillId="0" borderId="13" xfId="0" applyNumberFormat="1" applyFont="1" applyFill="1" applyBorder="1" applyAlignment="1">
      <alignment/>
    </xf>
    <xf numFmtId="0" fontId="6" fillId="0" borderId="0" xfId="0" applyNumberFormat="1" applyFont="1" applyBorder="1" applyAlignment="1">
      <alignment horizontal="left"/>
    </xf>
    <xf numFmtId="3" fontId="6" fillId="0" borderId="0" xfId="0" applyNumberFormat="1" applyFont="1" applyAlignment="1">
      <alignment horizontal="left"/>
    </xf>
    <xf numFmtId="164" fontId="6" fillId="0" borderId="0" xfId="42" applyNumberFormat="1" applyFont="1" applyFill="1" applyAlignment="1">
      <alignment/>
    </xf>
    <xf numFmtId="164" fontId="4" fillId="0" borderId="12" xfId="42" applyNumberFormat="1" applyFont="1" applyFill="1" applyBorder="1" applyAlignment="1">
      <alignment horizontal="right"/>
    </xf>
    <xf numFmtId="0" fontId="6" fillId="0" borderId="13" xfId="0" applyNumberFormat="1" applyFont="1" applyBorder="1" applyAlignment="1">
      <alignment horizontal="center"/>
    </xf>
    <xf numFmtId="0" fontId="6" fillId="0" borderId="13" xfId="0" applyNumberFormat="1" applyFont="1" applyBorder="1" applyAlignment="1">
      <alignment horizontal="left"/>
    </xf>
    <xf numFmtId="0" fontId="6" fillId="0" borderId="13" xfId="0" applyNumberFormat="1" applyFont="1" applyBorder="1" applyAlignment="1">
      <alignment/>
    </xf>
    <xf numFmtId="166" fontId="6" fillId="0" borderId="13" xfId="0" applyNumberFormat="1" applyFont="1" applyBorder="1" applyAlignment="1">
      <alignment/>
    </xf>
    <xf numFmtId="0" fontId="10" fillId="0" borderId="0" xfId="0" applyFont="1" applyFill="1" applyAlignment="1">
      <alignment horizontal="center"/>
    </xf>
    <xf numFmtId="0" fontId="17" fillId="0" borderId="0" xfId="0" applyNumberFormat="1" applyFont="1" applyFill="1" applyBorder="1" applyAlignment="1">
      <alignment horizontal="center"/>
    </xf>
    <xf numFmtId="0" fontId="17" fillId="33" borderId="0" xfId="0" applyNumberFormat="1" applyFont="1" applyFill="1" applyBorder="1" applyAlignment="1">
      <alignment horizontal="center"/>
    </xf>
    <xf numFmtId="0" fontId="6" fillId="0" borderId="0" xfId="0" applyFont="1" applyBorder="1" applyAlignment="1">
      <alignment horizontal="center"/>
    </xf>
    <xf numFmtId="3" fontId="6" fillId="0" borderId="11" xfId="0" applyNumberFormat="1" applyFont="1" applyBorder="1" applyAlignment="1">
      <alignment horizontal="center"/>
    </xf>
    <xf numFmtId="3" fontId="6" fillId="0" borderId="12" xfId="0" applyNumberFormat="1" applyFont="1" applyFill="1" applyBorder="1" applyAlignment="1">
      <alignment horizontal="center"/>
    </xf>
    <xf numFmtId="0" fontId="8" fillId="0" borderId="0" xfId="0" applyFont="1" applyFill="1" applyAlignment="1">
      <alignment horizontal="center"/>
    </xf>
    <xf numFmtId="0" fontId="6" fillId="0" borderId="0" xfId="0" applyFont="1" applyFill="1" applyBorder="1" applyAlignment="1">
      <alignment horizontal="center"/>
    </xf>
    <xf numFmtId="0" fontId="6" fillId="0" borderId="11" xfId="0" applyFont="1" applyFill="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3" fontId="6" fillId="0" borderId="11" xfId="0" applyNumberFormat="1" applyFont="1" applyFill="1" applyBorder="1" applyAlignment="1">
      <alignment horizontal="center"/>
    </xf>
    <xf numFmtId="0" fontId="4" fillId="0" borderId="12" xfId="0" applyFont="1" applyBorder="1" applyAlignment="1">
      <alignment horizontal="center"/>
    </xf>
    <xf numFmtId="0" fontId="6" fillId="0" borderId="13" xfId="0" applyNumberFormat="1" applyFont="1" applyFill="1" applyBorder="1" applyAlignment="1">
      <alignment horizontal="center"/>
    </xf>
    <xf numFmtId="0" fontId="4" fillId="0" borderId="11" xfId="0" applyNumberFormat="1" applyFont="1" applyBorder="1" applyAlignment="1">
      <alignment horizontal="center"/>
    </xf>
    <xf numFmtId="0" fontId="4" fillId="0" borderId="11" xfId="0" applyFont="1" applyBorder="1" applyAlignment="1">
      <alignment horizontal="center"/>
    </xf>
    <xf numFmtId="0" fontId="17" fillId="33" borderId="0" xfId="0" applyNumberFormat="1" applyFont="1" applyFill="1" applyAlignment="1">
      <alignment horizontal="center"/>
    </xf>
    <xf numFmtId="0" fontId="17" fillId="0" borderId="0" xfId="0" applyNumberFormat="1" applyFont="1" applyFill="1" applyAlignment="1">
      <alignment horizontal="center"/>
    </xf>
    <xf numFmtId="0" fontId="6" fillId="0" borderId="0" xfId="0" applyNumberFormat="1" applyFont="1" applyFill="1" applyBorder="1" applyAlignment="1">
      <alignment horizontal="center"/>
    </xf>
    <xf numFmtId="0" fontId="6" fillId="0" borderId="11" xfId="0" applyFont="1" applyFill="1" applyBorder="1" applyAlignment="1">
      <alignment horizontal="center"/>
    </xf>
    <xf numFmtId="0" fontId="6" fillId="0" borderId="13" xfId="0" applyFont="1" applyBorder="1" applyAlignment="1">
      <alignment horizontal="center"/>
    </xf>
    <xf numFmtId="0" fontId="4" fillId="0" borderId="12" xfId="0" applyNumberFormat="1" applyFont="1" applyBorder="1" applyAlignment="1">
      <alignment horizontal="center"/>
    </xf>
    <xf numFmtId="0" fontId="4" fillId="0" borderId="0" xfId="0" applyFont="1" applyBorder="1" applyAlignment="1">
      <alignment horizontal="center"/>
    </xf>
    <xf numFmtId="0" fontId="6" fillId="0" borderId="0" xfId="0" applyFont="1" applyBorder="1" applyAlignment="1">
      <alignment horizontal="center"/>
    </xf>
    <xf numFmtId="0" fontId="4" fillId="0" borderId="0" xfId="0" applyFont="1" applyBorder="1" applyAlignment="1">
      <alignment horizontal="center"/>
    </xf>
    <xf numFmtId="3" fontId="4" fillId="0" borderId="12" xfId="0" applyNumberFormat="1" applyFont="1" applyBorder="1" applyAlignment="1">
      <alignment horizontal="center"/>
    </xf>
    <xf numFmtId="0" fontId="6" fillId="0" borderId="0" xfId="0" applyNumberFormat="1" applyFont="1" applyFill="1" applyBorder="1" applyAlignment="1">
      <alignment horizontal="center"/>
    </xf>
    <xf numFmtId="3" fontId="4" fillId="0" borderId="11" xfId="0" applyNumberFormat="1" applyFont="1" applyBorder="1" applyAlignment="1">
      <alignment horizontal="center"/>
    </xf>
    <xf numFmtId="3" fontId="14" fillId="0" borderId="14" xfId="0" applyNumberFormat="1" applyFont="1" applyBorder="1" applyAlignment="1">
      <alignment horizontal="center"/>
    </xf>
    <xf numFmtId="0" fontId="14" fillId="0" borderId="14" xfId="0" applyFont="1" applyBorder="1" applyAlignment="1">
      <alignment horizontal="center"/>
    </xf>
    <xf numFmtId="0" fontId="18" fillId="0" borderId="0" xfId="0" applyFont="1" applyBorder="1" applyAlignment="1">
      <alignment horizontal="center"/>
    </xf>
    <xf numFmtId="0" fontId="6" fillId="0" borderId="13" xfId="0" applyFont="1" applyFill="1" applyBorder="1" applyAlignment="1">
      <alignment/>
    </xf>
    <xf numFmtId="0" fontId="8" fillId="0" borderId="0" xfId="0" applyFont="1" applyFill="1" applyBorder="1" applyAlignment="1">
      <alignment horizontal="center"/>
    </xf>
    <xf numFmtId="0" fontId="8" fillId="0" borderId="11" xfId="0" applyFont="1" applyFill="1" applyBorder="1" applyAlignment="1">
      <alignment/>
    </xf>
    <xf numFmtId="0" fontId="8" fillId="0" borderId="13" xfId="0" applyFont="1" applyFill="1" applyBorder="1" applyAlignment="1">
      <alignment/>
    </xf>
    <xf numFmtId="0" fontId="8" fillId="0" borderId="13" xfId="0" applyFont="1" applyFill="1" applyBorder="1" applyAlignment="1">
      <alignment horizontal="center"/>
    </xf>
    <xf numFmtId="0" fontId="6" fillId="0" borderId="0" xfId="0" applyFont="1" applyFill="1" applyBorder="1" applyAlignment="1">
      <alignment horizontal="center"/>
    </xf>
    <xf numFmtId="0" fontId="8" fillId="0" borderId="0" xfId="0" applyFont="1" applyFill="1" applyAlignment="1">
      <alignment horizontal="left"/>
    </xf>
    <xf numFmtId="0" fontId="23" fillId="0" borderId="0" xfId="0" applyNumberFormat="1" applyFont="1" applyBorder="1" applyAlignment="1">
      <alignment horizontal="center"/>
    </xf>
    <xf numFmtId="0" fontId="14" fillId="0" borderId="0" xfId="0" applyFont="1" applyFill="1" applyBorder="1" applyAlignment="1">
      <alignment/>
    </xf>
    <xf numFmtId="3" fontId="14" fillId="0" borderId="0" xfId="0" applyNumberFormat="1" applyFont="1" applyBorder="1" applyAlignment="1">
      <alignment horizontal="center"/>
    </xf>
    <xf numFmtId="0" fontId="23" fillId="0" borderId="0" xfId="0" applyFont="1" applyBorder="1" applyAlignment="1">
      <alignment/>
    </xf>
    <xf numFmtId="3" fontId="14" fillId="0" borderId="0" xfId="0" applyNumberFormat="1" applyFont="1" applyBorder="1" applyAlignment="1">
      <alignment/>
    </xf>
    <xf numFmtId="0" fontId="14" fillId="0" borderId="13" xfId="0" applyFont="1" applyFill="1" applyBorder="1" applyAlignment="1">
      <alignment/>
    </xf>
    <xf numFmtId="3" fontId="14" fillId="0" borderId="13" xfId="0" applyNumberFormat="1" applyFont="1" applyBorder="1" applyAlignment="1">
      <alignment horizontal="center"/>
    </xf>
    <xf numFmtId="3" fontId="14" fillId="0" borderId="0" xfId="0" applyNumberFormat="1" applyFont="1" applyFill="1" applyBorder="1" applyAlignment="1">
      <alignment horizontal="center"/>
    </xf>
    <xf numFmtId="10" fontId="6" fillId="0" borderId="0" xfId="78" applyNumberFormat="1" applyFont="1" applyFill="1" applyBorder="1" applyAlignment="1">
      <alignment/>
    </xf>
    <xf numFmtId="3" fontId="6" fillId="0" borderId="13" xfId="0" applyNumberFormat="1" applyFont="1" applyFill="1" applyBorder="1" applyAlignment="1">
      <alignment/>
    </xf>
    <xf numFmtId="0" fontId="4" fillId="0" borderId="0" xfId="0" applyFont="1" applyFill="1" applyAlignment="1">
      <alignment/>
    </xf>
    <xf numFmtId="0" fontId="4" fillId="0" borderId="0" xfId="0" applyFont="1" applyFill="1" applyBorder="1" applyAlignment="1">
      <alignment/>
    </xf>
    <xf numFmtId="3" fontId="4" fillId="0" borderId="0" xfId="0" applyNumberFormat="1" applyFont="1" applyFill="1" applyBorder="1" applyAlignment="1">
      <alignment/>
    </xf>
    <xf numFmtId="10" fontId="6" fillId="0" borderId="0" xfId="78" applyNumberFormat="1" applyFont="1" applyFill="1" applyAlignment="1">
      <alignment/>
    </xf>
    <xf numFmtId="10" fontId="9" fillId="0" borderId="0" xfId="0" applyNumberFormat="1" applyFont="1" applyFill="1" applyAlignment="1">
      <alignment horizontal="right"/>
    </xf>
    <xf numFmtId="3" fontId="10" fillId="0" borderId="0" xfId="0" applyNumberFormat="1" applyFont="1" applyBorder="1" applyAlignment="1">
      <alignment/>
    </xf>
    <xf numFmtId="3" fontId="27" fillId="0" borderId="0" xfId="0" applyNumberFormat="1" applyFont="1" applyBorder="1" applyAlignment="1">
      <alignment horizontal="right"/>
    </xf>
    <xf numFmtId="3" fontId="18" fillId="0" borderId="0" xfId="0" applyNumberFormat="1" applyFont="1" applyBorder="1" applyAlignment="1">
      <alignment horizontal="right"/>
    </xf>
    <xf numFmtId="0" fontId="10" fillId="0" borderId="0" xfId="0" applyNumberFormat="1" applyFont="1" applyFill="1" applyBorder="1" applyAlignment="1">
      <alignment horizontal="center"/>
    </xf>
    <xf numFmtId="0" fontId="0" fillId="34" borderId="0" xfId="0" applyFill="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left" vertical="center" wrapText="1"/>
    </xf>
    <xf numFmtId="0" fontId="0" fillId="0" borderId="0" xfId="0" applyFont="1" applyFill="1" applyAlignment="1">
      <alignment/>
    </xf>
    <xf numFmtId="0" fontId="0" fillId="0" borderId="0" xfId="0" applyAlignment="1">
      <alignment/>
    </xf>
    <xf numFmtId="164" fontId="0" fillId="0" borderId="0" xfId="42" applyNumberFormat="1" applyAlignment="1">
      <alignment/>
    </xf>
    <xf numFmtId="0" fontId="28" fillId="0" borderId="0" xfId="0" applyFont="1" applyFill="1" applyAlignment="1">
      <alignment horizontal="center"/>
    </xf>
    <xf numFmtId="0" fontId="31" fillId="0" borderId="0" xfId="0" applyFont="1" applyAlignment="1">
      <alignment horizontal="left"/>
    </xf>
    <xf numFmtId="0" fontId="31" fillId="0" borderId="0" xfId="0" applyFont="1" applyAlignment="1">
      <alignment/>
    </xf>
    <xf numFmtId="0" fontId="33" fillId="0" borderId="0" xfId="0" applyFont="1" applyAlignment="1">
      <alignment/>
    </xf>
    <xf numFmtId="0" fontId="33" fillId="0" borderId="0" xfId="0" applyFont="1" applyBorder="1" applyAlignment="1">
      <alignment/>
    </xf>
    <xf numFmtId="0" fontId="33" fillId="0" borderId="0" xfId="0" applyFont="1" applyFill="1" applyBorder="1" applyAlignment="1">
      <alignment/>
    </xf>
    <xf numFmtId="0" fontId="11" fillId="0" borderId="0" xfId="0" applyFont="1" applyAlignment="1">
      <alignment/>
    </xf>
    <xf numFmtId="0" fontId="6" fillId="0" borderId="0" xfId="0" applyFont="1" applyAlignment="1">
      <alignment horizontal="left"/>
    </xf>
    <xf numFmtId="0" fontId="34" fillId="0" borderId="0" xfId="0" applyFont="1" applyAlignment="1">
      <alignment horizontal="center"/>
    </xf>
    <xf numFmtId="0" fontId="11" fillId="0" borderId="0" xfId="0" applyFont="1" applyFill="1" applyAlignment="1">
      <alignment/>
    </xf>
    <xf numFmtId="164" fontId="4" fillId="0" borderId="0" xfId="42" applyNumberFormat="1" applyFont="1" applyAlignment="1">
      <alignment/>
    </xf>
    <xf numFmtId="3" fontId="6" fillId="0" borderId="0" xfId="0" applyNumberFormat="1" applyFont="1" applyFill="1" applyBorder="1" applyAlignment="1">
      <alignment horizontal="right"/>
    </xf>
    <xf numFmtId="0" fontId="6" fillId="0" borderId="13" xfId="0" applyFont="1" applyBorder="1" applyAlignment="1">
      <alignment/>
    </xf>
    <xf numFmtId="0" fontId="26" fillId="0" borderId="0" xfId="0" applyFont="1" applyFill="1" applyBorder="1" applyAlignment="1">
      <alignment horizontal="left"/>
    </xf>
    <xf numFmtId="0" fontId="17" fillId="0" borderId="0"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wrapText="1"/>
    </xf>
    <xf numFmtId="0" fontId="4" fillId="0" borderId="0" xfId="0" applyFont="1" applyFill="1" applyBorder="1" applyAlignment="1">
      <alignment horizontal="center" wrapText="1"/>
    </xf>
    <xf numFmtId="0" fontId="4" fillId="0" borderId="0" xfId="0" applyFont="1" applyFill="1" applyAlignment="1">
      <alignment/>
    </xf>
    <xf numFmtId="0" fontId="6" fillId="0" borderId="0" xfId="0" applyFont="1" applyAlignment="1">
      <alignment wrapText="1"/>
    </xf>
    <xf numFmtId="0" fontId="6" fillId="0" borderId="13" xfId="0" applyFont="1" applyBorder="1" applyAlignment="1">
      <alignment/>
    </xf>
    <xf numFmtId="10" fontId="6" fillId="0" borderId="0" xfId="78" applyNumberFormat="1" applyFont="1" applyFill="1" applyAlignment="1">
      <alignment/>
    </xf>
    <xf numFmtId="43" fontId="0" fillId="0" borderId="0" xfId="0" applyNumberFormat="1" applyAlignment="1">
      <alignment/>
    </xf>
    <xf numFmtId="0" fontId="0" fillId="0" borderId="0" xfId="0" applyBorder="1" applyAlignment="1">
      <alignment/>
    </xf>
    <xf numFmtId="0" fontId="1" fillId="0" borderId="0" xfId="0" applyFont="1" applyAlignment="1">
      <alignment horizontal="left"/>
    </xf>
    <xf numFmtId="0" fontId="4" fillId="0" borderId="0" xfId="0" applyNumberFormat="1" applyFont="1" applyFill="1" applyBorder="1" applyAlignment="1">
      <alignment horizontal="left"/>
    </xf>
    <xf numFmtId="0" fontId="4" fillId="0" borderId="0" xfId="0" applyFont="1" applyBorder="1" applyAlignment="1">
      <alignment horizontal="left"/>
    </xf>
    <xf numFmtId="0" fontId="4" fillId="0" borderId="0" xfId="0" applyFont="1" applyBorder="1" applyAlignment="1">
      <alignment/>
    </xf>
    <xf numFmtId="3" fontId="4" fillId="0" borderId="11" xfId="0" applyNumberFormat="1" applyFont="1" applyFill="1" applyBorder="1" applyAlignment="1">
      <alignment horizontal="right"/>
    </xf>
    <xf numFmtId="3" fontId="4" fillId="0" borderId="11" xfId="0" applyNumberFormat="1" applyFont="1" applyBorder="1" applyAlignment="1">
      <alignment/>
    </xf>
    <xf numFmtId="3" fontId="4" fillId="0" borderId="11" xfId="0" applyNumberFormat="1" applyFont="1" applyFill="1" applyBorder="1" applyAlignment="1">
      <alignment/>
    </xf>
    <xf numFmtId="164" fontId="4" fillId="0" borderId="0" xfId="42" applyNumberFormat="1" applyFont="1" applyFill="1" applyAlignment="1">
      <alignment/>
    </xf>
    <xf numFmtId="3" fontId="14" fillId="0" borderId="14" xfId="0" applyNumberFormat="1" applyFont="1" applyBorder="1" applyAlignment="1">
      <alignment/>
    </xf>
    <xf numFmtId="10" fontId="12" fillId="0" borderId="0" xfId="0" applyNumberFormat="1" applyFont="1" applyFill="1" applyAlignment="1">
      <alignment/>
    </xf>
    <xf numFmtId="0" fontId="6" fillId="0" borderId="13" xfId="0" applyFont="1" applyFill="1" applyBorder="1" applyAlignment="1">
      <alignment horizontal="center"/>
    </xf>
    <xf numFmtId="0" fontId="0" fillId="0" borderId="0" xfId="0" applyNumberFormat="1" applyFont="1" applyFill="1" applyBorder="1" applyAlignment="1">
      <alignment horizontal="left"/>
    </xf>
    <xf numFmtId="0" fontId="33" fillId="0" borderId="16" xfId="0" applyFont="1" applyBorder="1" applyAlignment="1">
      <alignment/>
    </xf>
    <xf numFmtId="0" fontId="33" fillId="0" borderId="17" xfId="0" applyFont="1" applyBorder="1" applyAlignment="1">
      <alignment/>
    </xf>
    <xf numFmtId="0" fontId="33" fillId="0" borderId="18" xfId="0" applyFont="1" applyBorder="1" applyAlignment="1">
      <alignment/>
    </xf>
    <xf numFmtId="0" fontId="21" fillId="33" borderId="0" xfId="0" applyFont="1" applyFill="1" applyBorder="1" applyAlignment="1">
      <alignment horizontal="center"/>
    </xf>
    <xf numFmtId="0" fontId="33" fillId="0" borderId="0" xfId="0" applyFont="1" applyFill="1" applyBorder="1" applyAlignment="1">
      <alignment horizontal="center"/>
    </xf>
    <xf numFmtId="3" fontId="4" fillId="0" borderId="0" xfId="0" applyNumberFormat="1" applyFont="1" applyAlignment="1">
      <alignment horizontal="left"/>
    </xf>
    <xf numFmtId="3" fontId="6" fillId="0" borderId="0" xfId="0" applyNumberFormat="1" applyFont="1" applyFill="1" applyAlignment="1">
      <alignment horizontal="left"/>
    </xf>
    <xf numFmtId="0" fontId="6" fillId="0" borderId="0" xfId="0" applyFont="1" applyFill="1" applyBorder="1" applyAlignment="1">
      <alignment horizontal="left"/>
    </xf>
    <xf numFmtId="0" fontId="39" fillId="0" borderId="0" xfId="0" applyFont="1" applyFill="1" applyAlignment="1">
      <alignment/>
    </xf>
    <xf numFmtId="0" fontId="18" fillId="0" borderId="0" xfId="0" applyFont="1" applyFill="1" applyBorder="1" applyAlignment="1">
      <alignment horizontal="center"/>
    </xf>
    <xf numFmtId="0" fontId="9" fillId="0" borderId="0" xfId="0" applyFont="1" applyAlignment="1">
      <alignment/>
    </xf>
    <xf numFmtId="0" fontId="33" fillId="0" borderId="19" xfId="0" applyFont="1" applyBorder="1" applyAlignment="1">
      <alignment/>
    </xf>
    <xf numFmtId="0" fontId="33" fillId="0" borderId="20" xfId="0" applyFont="1" applyBorder="1" applyAlignment="1">
      <alignment horizontal="center"/>
    </xf>
    <xf numFmtId="0" fontId="36" fillId="0" borderId="19" xfId="0" applyFont="1" applyBorder="1" applyAlignment="1">
      <alignment horizontal="center"/>
    </xf>
    <xf numFmtId="0" fontId="36" fillId="0" borderId="20" xfId="0" applyFont="1" applyBorder="1" applyAlignment="1">
      <alignment horizontal="center"/>
    </xf>
    <xf numFmtId="0" fontId="36" fillId="0" borderId="21" xfId="0" applyFont="1" applyBorder="1" applyAlignment="1">
      <alignment horizontal="center"/>
    </xf>
    <xf numFmtId="0" fontId="33" fillId="0" borderId="0" xfId="0" applyFont="1" applyBorder="1" applyAlignment="1">
      <alignment horizontal="center"/>
    </xf>
    <xf numFmtId="164" fontId="33" fillId="0" borderId="16" xfId="42" applyNumberFormat="1" applyFont="1" applyBorder="1" applyAlignment="1">
      <alignment horizontal="center"/>
    </xf>
    <xf numFmtId="0" fontId="33" fillId="0" borderId="16" xfId="0" applyFont="1" applyBorder="1" applyAlignment="1">
      <alignment horizontal="center"/>
    </xf>
    <xf numFmtId="164" fontId="33" fillId="0" borderId="16" xfId="42" applyNumberFormat="1" applyFont="1" applyBorder="1" applyAlignment="1">
      <alignment/>
    </xf>
    <xf numFmtId="164" fontId="33" fillId="0" borderId="17" xfId="42" applyNumberFormat="1" applyFont="1" applyBorder="1" applyAlignment="1">
      <alignment/>
    </xf>
    <xf numFmtId="164" fontId="33" fillId="0" borderId="0" xfId="42" applyNumberFormat="1" applyFont="1" applyBorder="1" applyAlignment="1">
      <alignment/>
    </xf>
    <xf numFmtId="0" fontId="36" fillId="0" borderId="22" xfId="0" applyFont="1" applyBorder="1" applyAlignment="1">
      <alignment horizontal="center"/>
    </xf>
    <xf numFmtId="0" fontId="33" fillId="0" borderId="23" xfId="0" applyFont="1" applyBorder="1" applyAlignment="1">
      <alignment horizontal="center"/>
    </xf>
    <xf numFmtId="164" fontId="33" fillId="0" borderId="0" xfId="0" applyNumberFormat="1" applyFont="1" applyBorder="1" applyAlignment="1">
      <alignment/>
    </xf>
    <xf numFmtId="167" fontId="33" fillId="0" borderId="16" xfId="0" applyNumberFormat="1" applyFont="1" applyBorder="1" applyAlignment="1">
      <alignment/>
    </xf>
    <xf numFmtId="164" fontId="33" fillId="0" borderId="17" xfId="0" applyNumberFormat="1" applyFont="1" applyBorder="1" applyAlignment="1">
      <alignment/>
    </xf>
    <xf numFmtId="164" fontId="36" fillId="0" borderId="23" xfId="0" applyNumberFormat="1" applyFont="1" applyBorder="1" applyAlignment="1">
      <alignment/>
    </xf>
    <xf numFmtId="164" fontId="36" fillId="0" borderId="0" xfId="0" applyNumberFormat="1" applyFont="1" applyBorder="1" applyAlignment="1">
      <alignment/>
    </xf>
    <xf numFmtId="164" fontId="36" fillId="0" borderId="16" xfId="42" applyNumberFormat="1" applyFont="1" applyBorder="1" applyAlignment="1">
      <alignment/>
    </xf>
    <xf numFmtId="164" fontId="36" fillId="0" borderId="24" xfId="0" applyNumberFormat="1" applyFont="1" applyBorder="1" applyAlignment="1">
      <alignment/>
    </xf>
    <xf numFmtId="164" fontId="36" fillId="0" borderId="9" xfId="0" applyNumberFormat="1" applyFont="1" applyBorder="1" applyAlignment="1">
      <alignment/>
    </xf>
    <xf numFmtId="164" fontId="36" fillId="0" borderId="18" xfId="42" applyNumberFormat="1" applyFont="1" applyBorder="1" applyAlignment="1">
      <alignment/>
    </xf>
    <xf numFmtId="0" fontId="33" fillId="0" borderId="0" xfId="0" applyFont="1" applyAlignment="1">
      <alignment horizontal="center"/>
    </xf>
    <xf numFmtId="164" fontId="33" fillId="0" borderId="0" xfId="42" applyNumberFormat="1" applyFont="1" applyAlignment="1">
      <alignment/>
    </xf>
    <xf numFmtId="167" fontId="33" fillId="0" borderId="0" xfId="48" applyNumberFormat="1" applyFont="1" applyAlignment="1">
      <alignment/>
    </xf>
    <xf numFmtId="0" fontId="36" fillId="0" borderId="22" xfId="0" applyFont="1" applyFill="1" applyBorder="1" applyAlignment="1">
      <alignment horizontal="center"/>
    </xf>
    <xf numFmtId="167" fontId="33" fillId="0" borderId="23" xfId="48" applyNumberFormat="1" applyFont="1" applyBorder="1" applyAlignment="1">
      <alignment/>
    </xf>
    <xf numFmtId="167" fontId="33" fillId="0" borderId="24" xfId="48" applyNumberFormat="1" applyFont="1" applyBorder="1" applyAlignment="1">
      <alignment/>
    </xf>
    <xf numFmtId="0" fontId="33" fillId="0" borderId="17" xfId="0" applyFont="1" applyFill="1" applyBorder="1" applyAlignment="1">
      <alignment/>
    </xf>
    <xf numFmtId="164" fontId="33" fillId="0" borderId="0" xfId="42" applyNumberFormat="1" applyFont="1" applyFill="1" applyBorder="1" applyAlignment="1">
      <alignment/>
    </xf>
    <xf numFmtId="164" fontId="33" fillId="0" borderId="16" xfId="42" applyNumberFormat="1" applyFont="1" applyFill="1" applyBorder="1" applyAlignment="1">
      <alignment/>
    </xf>
    <xf numFmtId="37" fontId="16"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0" fillId="0" borderId="0" xfId="0" applyFill="1" applyBorder="1" applyAlignment="1">
      <alignment horizontal="center"/>
    </xf>
    <xf numFmtId="0" fontId="0" fillId="0" borderId="0" xfId="0" applyFill="1" applyBorder="1" applyAlignment="1">
      <alignment/>
    </xf>
    <xf numFmtId="0" fontId="33" fillId="0" borderId="21" xfId="0" applyFont="1" applyBorder="1" applyAlignment="1">
      <alignment/>
    </xf>
    <xf numFmtId="0" fontId="43" fillId="33" borderId="0" xfId="0" applyFont="1" applyFill="1" applyAlignment="1">
      <alignment/>
    </xf>
    <xf numFmtId="0" fontId="23" fillId="0" borderId="0" xfId="0" applyNumberFormat="1" applyFont="1" applyFill="1" applyBorder="1" applyAlignment="1">
      <alignment horizontal="center"/>
    </xf>
    <xf numFmtId="3" fontId="6" fillId="0" borderId="0" xfId="0" applyNumberFormat="1" applyFont="1" applyAlignment="1">
      <alignment horizontal="center"/>
    </xf>
    <xf numFmtId="0" fontId="4" fillId="0" borderId="16" xfId="0" applyFont="1" applyBorder="1" applyAlignment="1">
      <alignment/>
    </xf>
    <xf numFmtId="0" fontId="6" fillId="35" borderId="20" xfId="0" applyFont="1" applyFill="1" applyBorder="1" applyAlignment="1">
      <alignment/>
    </xf>
    <xf numFmtId="0" fontId="17" fillId="35" borderId="9" xfId="0" applyFont="1" applyFill="1" applyBorder="1" applyAlignment="1">
      <alignment/>
    </xf>
    <xf numFmtId="0" fontId="4" fillId="35" borderId="9" xfId="0" applyFont="1" applyFill="1" applyBorder="1" applyAlignment="1">
      <alignment/>
    </xf>
    <xf numFmtId="0" fontId="17" fillId="35" borderId="9" xfId="0" applyNumberFormat="1" applyFont="1" applyFill="1" applyBorder="1" applyAlignment="1">
      <alignment horizontal="center"/>
    </xf>
    <xf numFmtId="0" fontId="4" fillId="35" borderId="18" xfId="0" applyFont="1" applyFill="1" applyBorder="1" applyAlignment="1">
      <alignment horizontal="center" wrapText="1"/>
    </xf>
    <xf numFmtId="0" fontId="26" fillId="35" borderId="19" xfId="0" applyFont="1" applyFill="1" applyBorder="1" applyAlignment="1">
      <alignment horizontal="left"/>
    </xf>
    <xf numFmtId="0" fontId="14" fillId="0" borderId="0" xfId="0" applyFont="1" applyAlignment="1">
      <alignment horizontal="center"/>
    </xf>
    <xf numFmtId="165" fontId="6" fillId="0" borderId="13" xfId="68" applyFont="1" applyFill="1" applyBorder="1" applyAlignment="1">
      <alignment vertical="center"/>
      <protection/>
    </xf>
    <xf numFmtId="0" fontId="6" fillId="0" borderId="13" xfId="0" applyFont="1" applyFill="1" applyBorder="1" applyAlignment="1">
      <alignment/>
    </xf>
    <xf numFmtId="0" fontId="6" fillId="0" borderId="0" xfId="0" applyFont="1" applyFill="1" applyAlignment="1">
      <alignment/>
    </xf>
    <xf numFmtId="0" fontId="0" fillId="0" borderId="0" xfId="0" applyFill="1" applyAlignment="1">
      <alignment wrapText="1"/>
    </xf>
    <xf numFmtId="37" fontId="0" fillId="0" borderId="0" xfId="0" applyNumberFormat="1" applyFill="1" applyAlignment="1">
      <alignment/>
    </xf>
    <xf numFmtId="0" fontId="5" fillId="0" borderId="0" xfId="0" applyFont="1" applyFill="1" applyAlignment="1">
      <alignment/>
    </xf>
    <xf numFmtId="0" fontId="34" fillId="0" borderId="0" xfId="0" applyFont="1" applyAlignment="1">
      <alignment horizontal="right"/>
    </xf>
    <xf numFmtId="0" fontId="1" fillId="0" borderId="0" xfId="0" applyFont="1" applyAlignment="1">
      <alignment/>
    </xf>
    <xf numFmtId="0" fontId="0" fillId="0" borderId="0" xfId="0" applyAlignment="1">
      <alignment horizontal="left"/>
    </xf>
    <xf numFmtId="0" fontId="5" fillId="0" borderId="0" xfId="0" applyFont="1" applyAlignment="1">
      <alignment/>
    </xf>
    <xf numFmtId="0" fontId="0" fillId="0" borderId="0" xfId="0" applyFont="1" applyFill="1" applyAlignment="1">
      <alignment/>
    </xf>
    <xf numFmtId="0" fontId="0" fillId="0" borderId="0" xfId="0" applyFont="1" applyAlignment="1">
      <alignment/>
    </xf>
    <xf numFmtId="164" fontId="0" fillId="0" borderId="0" xfId="42" applyNumberFormat="1" applyFont="1" applyAlignment="1">
      <alignment/>
    </xf>
    <xf numFmtId="164" fontId="0" fillId="34" borderId="0" xfId="42" applyNumberFormat="1" applyFill="1" applyAlignment="1">
      <alignment/>
    </xf>
    <xf numFmtId="164" fontId="0" fillId="0" borderId="0" xfId="42" applyNumberFormat="1" applyFill="1" applyBorder="1" applyAlignment="1">
      <alignment wrapText="1"/>
    </xf>
    <xf numFmtId="164" fontId="0" fillId="34" borderId="0" xfId="42" applyNumberFormat="1" applyFill="1" applyAlignment="1">
      <alignment wrapText="1"/>
    </xf>
    <xf numFmtId="164" fontId="0" fillId="34" borderId="0" xfId="42" applyNumberFormat="1" applyFill="1" applyAlignment="1">
      <alignment vertical="center" wrapText="1"/>
    </xf>
    <xf numFmtId="164" fontId="0" fillId="0" borderId="0" xfId="42" applyNumberFormat="1" applyFont="1" applyFill="1" applyAlignment="1">
      <alignment/>
    </xf>
    <xf numFmtId="164" fontId="0" fillId="0" borderId="0" xfId="42" applyNumberFormat="1" applyFont="1" applyFill="1" applyBorder="1" applyAlignment="1">
      <alignment/>
    </xf>
    <xf numFmtId="0" fontId="6" fillId="0" borderId="0" xfId="0" applyNumberFormat="1" applyFont="1" applyFill="1" applyBorder="1" applyAlignment="1">
      <alignment horizontal="left"/>
    </xf>
    <xf numFmtId="0" fontId="6" fillId="0" borderId="13" xfId="0" applyNumberFormat="1" applyFont="1" applyFill="1" applyBorder="1" applyAlignment="1">
      <alignment horizontal="left"/>
    </xf>
    <xf numFmtId="0" fontId="28" fillId="0" borderId="0" xfId="0" applyFont="1" applyFill="1" applyAlignment="1">
      <alignment/>
    </xf>
    <xf numFmtId="164" fontId="0" fillId="0" borderId="0" xfId="42" applyNumberFormat="1" applyAlignment="1">
      <alignment/>
    </xf>
    <xf numFmtId="173" fontId="0" fillId="0" borderId="0" xfId="78" applyNumberFormat="1" applyAlignment="1">
      <alignment/>
    </xf>
    <xf numFmtId="0" fontId="6" fillId="0" borderId="0" xfId="0" applyFont="1" applyFill="1" applyAlignment="1">
      <alignment horizontal="left"/>
    </xf>
    <xf numFmtId="3" fontId="35" fillId="0" borderId="0" xfId="0" applyNumberFormat="1" applyFont="1" applyAlignment="1">
      <alignment/>
    </xf>
    <xf numFmtId="166" fontId="6" fillId="0" borderId="0" xfId="0" applyNumberFormat="1" applyFont="1" applyFill="1" applyAlignment="1">
      <alignment/>
    </xf>
    <xf numFmtId="3" fontId="8" fillId="0" borderId="13" xfId="0" applyNumberFormat="1" applyFont="1" applyFill="1" applyBorder="1" applyAlignment="1">
      <alignment horizontal="center"/>
    </xf>
    <xf numFmtId="0" fontId="33" fillId="34" borderId="17" xfId="0" applyFont="1" applyFill="1" applyBorder="1" applyAlignment="1">
      <alignment horizontal="center"/>
    </xf>
    <xf numFmtId="164" fontId="33" fillId="34" borderId="17" xfId="42" applyNumberFormat="1" applyFont="1" applyFill="1" applyBorder="1" applyAlignment="1">
      <alignment/>
    </xf>
    <xf numFmtId="0" fontId="5" fillId="0" borderId="0" xfId="0" applyFont="1" applyFill="1" applyBorder="1" applyAlignment="1">
      <alignment/>
    </xf>
    <xf numFmtId="0" fontId="46" fillId="0" borderId="0" xfId="0" applyFont="1" applyFill="1" applyAlignment="1">
      <alignment/>
    </xf>
    <xf numFmtId="164" fontId="0" fillId="0" borderId="0" xfId="42" applyNumberFormat="1" applyFont="1" applyFill="1" applyBorder="1" applyAlignment="1">
      <alignment/>
    </xf>
    <xf numFmtId="164" fontId="0" fillId="0" borderId="0" xfId="0" applyNumberFormat="1" applyAlignment="1">
      <alignment/>
    </xf>
    <xf numFmtId="0" fontId="0" fillId="0" borderId="0" xfId="0" applyFill="1" applyAlignment="1">
      <alignment horizontal="left"/>
    </xf>
    <xf numFmtId="0" fontId="1" fillId="0" borderId="0" xfId="0" applyFont="1" applyFill="1" applyAlignment="1">
      <alignment horizontal="center"/>
    </xf>
    <xf numFmtId="37" fontId="0" fillId="34" borderId="25" xfId="0" applyNumberFormat="1" applyFill="1" applyBorder="1" applyAlignment="1">
      <alignment/>
    </xf>
    <xf numFmtId="0" fontId="0" fillId="34" borderId="25" xfId="0" applyFill="1" applyBorder="1" applyAlignment="1">
      <alignment wrapText="1"/>
    </xf>
    <xf numFmtId="0" fontId="0" fillId="34" borderId="25" xfId="0" applyFill="1" applyBorder="1" applyAlignment="1">
      <alignment/>
    </xf>
    <xf numFmtId="37" fontId="0" fillId="0" borderId="25" xfId="0" applyNumberFormat="1" applyFill="1" applyBorder="1" applyAlignment="1">
      <alignment/>
    </xf>
    <xf numFmtId="37" fontId="0" fillId="34" borderId="25" xfId="0" applyNumberFormat="1" applyFill="1" applyBorder="1" applyAlignment="1">
      <alignment horizontal="right"/>
    </xf>
    <xf numFmtId="0" fontId="0" fillId="34" borderId="25" xfId="0" applyFill="1" applyBorder="1" applyAlignment="1">
      <alignment horizontal="center"/>
    </xf>
    <xf numFmtId="0" fontId="13" fillId="34" borderId="25" xfId="0" applyFont="1" applyFill="1" applyBorder="1" applyAlignment="1">
      <alignment wrapText="1"/>
    </xf>
    <xf numFmtId="0" fontId="0" fillId="0" borderId="26" xfId="0" applyBorder="1" applyAlignment="1">
      <alignment/>
    </xf>
    <xf numFmtId="0" fontId="11" fillId="0" borderId="0" xfId="0" applyFont="1" applyBorder="1" applyAlignment="1">
      <alignment/>
    </xf>
    <xf numFmtId="0" fontId="5" fillId="0" borderId="0" xfId="0" applyFont="1" applyBorder="1" applyAlignment="1">
      <alignment/>
    </xf>
    <xf numFmtId="0" fontId="30" fillId="0" borderId="0" xfId="0" applyFont="1" applyBorder="1" applyAlignment="1">
      <alignment horizontal="center"/>
    </xf>
    <xf numFmtId="0" fontId="0" fillId="0" borderId="0" xfId="0" applyBorder="1" applyAlignment="1">
      <alignment/>
    </xf>
    <xf numFmtId="0" fontId="0" fillId="0" borderId="0" xfId="0" applyBorder="1" applyAlignment="1">
      <alignment horizontal="left"/>
    </xf>
    <xf numFmtId="0" fontId="28" fillId="0" borderId="0" xfId="0" applyFont="1" applyBorder="1" applyAlignment="1">
      <alignment/>
    </xf>
    <xf numFmtId="0" fontId="32" fillId="0" borderId="0" xfId="0" applyFont="1" applyFill="1" applyBorder="1" applyAlignment="1">
      <alignment/>
    </xf>
    <xf numFmtId="0" fontId="0" fillId="0" borderId="0" xfId="0" applyFill="1" applyBorder="1" applyAlignment="1">
      <alignment wrapText="1"/>
    </xf>
    <xf numFmtId="0" fontId="29" fillId="0" borderId="0" xfId="0" applyFont="1" applyFill="1" applyBorder="1" applyAlignment="1">
      <alignment/>
    </xf>
    <xf numFmtId="41" fontId="1" fillId="0" borderId="0" xfId="0" applyNumberFormat="1" applyFont="1" applyBorder="1" applyAlignment="1">
      <alignment horizontal="center"/>
    </xf>
    <xf numFmtId="41" fontId="1" fillId="0" borderId="0" xfId="0" applyNumberFormat="1" applyFont="1" applyFill="1" applyBorder="1" applyAlignment="1">
      <alignment horizontal="center"/>
    </xf>
    <xf numFmtId="0" fontId="0" fillId="0" borderId="27" xfId="0" applyBorder="1" applyAlignment="1">
      <alignment/>
    </xf>
    <xf numFmtId="0" fontId="13" fillId="0" borderId="0" xfId="0" applyFont="1" applyFill="1" applyBorder="1" applyAlignment="1">
      <alignment wrapText="1"/>
    </xf>
    <xf numFmtId="0" fontId="32" fillId="0" borderId="0" xfId="0" applyFont="1" applyFill="1" applyBorder="1" applyAlignment="1">
      <alignment horizontal="left"/>
    </xf>
    <xf numFmtId="0" fontId="32" fillId="0" borderId="28" xfId="0" applyFont="1" applyFill="1" applyBorder="1" applyAlignment="1">
      <alignment/>
    </xf>
    <xf numFmtId="0" fontId="0" fillId="0" borderId="11" xfId="0" applyBorder="1" applyAlignment="1">
      <alignment/>
    </xf>
    <xf numFmtId="0" fontId="0" fillId="0" borderId="11" xfId="0" applyFill="1" applyBorder="1" applyAlignment="1">
      <alignment/>
    </xf>
    <xf numFmtId="0" fontId="0" fillId="0" borderId="11" xfId="0" applyFill="1" applyBorder="1" applyAlignment="1">
      <alignment horizontal="center"/>
    </xf>
    <xf numFmtId="0" fontId="32" fillId="0" borderId="29" xfId="0" applyFont="1" applyFill="1" applyBorder="1" applyAlignment="1">
      <alignment horizontal="left"/>
    </xf>
    <xf numFmtId="37" fontId="0" fillId="0" borderId="0" xfId="0" applyNumberFormat="1" applyFill="1" applyBorder="1" applyAlignment="1">
      <alignment/>
    </xf>
    <xf numFmtId="37" fontId="0" fillId="0" borderId="0" xfId="0" applyNumberFormat="1" applyFill="1" applyBorder="1" applyAlignment="1">
      <alignment horizontal="center"/>
    </xf>
    <xf numFmtId="37" fontId="0" fillId="0" borderId="11" xfId="0" applyNumberFormat="1" applyFill="1" applyBorder="1" applyAlignment="1">
      <alignment/>
    </xf>
    <xf numFmtId="37" fontId="0" fillId="0" borderId="11" xfId="0" applyNumberFormat="1" applyFill="1" applyBorder="1" applyAlignment="1">
      <alignment horizontal="center"/>
    </xf>
    <xf numFmtId="0" fontId="0" fillId="0" borderId="0" xfId="0" applyFill="1" applyAlignment="1">
      <alignment/>
    </xf>
    <xf numFmtId="0" fontId="44" fillId="0" borderId="0" xfId="0" applyFont="1" applyFill="1" applyBorder="1" applyAlignment="1">
      <alignment/>
    </xf>
    <xf numFmtId="0" fontId="6" fillId="0" borderId="11" xfId="0" applyFont="1" applyFill="1" applyBorder="1" applyAlignment="1">
      <alignment/>
    </xf>
    <xf numFmtId="0" fontId="4" fillId="0" borderId="12" xfId="0" applyFont="1" applyFill="1" applyBorder="1" applyAlignment="1">
      <alignment/>
    </xf>
    <xf numFmtId="0" fontId="0" fillId="0" borderId="0" xfId="0" applyBorder="1" applyAlignment="1">
      <alignment horizontal="center"/>
    </xf>
    <xf numFmtId="0" fontId="0" fillId="0" borderId="16" xfId="0" applyBorder="1" applyAlignment="1">
      <alignment horizontal="center"/>
    </xf>
    <xf numFmtId="37" fontId="0" fillId="0" borderId="0" xfId="0" applyNumberFormat="1" applyFont="1" applyFill="1" applyAlignment="1">
      <alignment/>
    </xf>
    <xf numFmtId="164" fontId="0" fillId="0" borderId="0" xfId="42" applyNumberFormat="1" applyFont="1" applyFill="1" applyAlignment="1">
      <alignment/>
    </xf>
    <xf numFmtId="0" fontId="0" fillId="0" borderId="0" xfId="0" applyFont="1" applyFill="1" applyAlignment="1">
      <alignment/>
    </xf>
    <xf numFmtId="0" fontId="11" fillId="0" borderId="0" xfId="0" applyFont="1" applyAlignment="1">
      <alignment horizontal="center"/>
    </xf>
    <xf numFmtId="164" fontId="6" fillId="0" borderId="0" xfId="42" applyNumberFormat="1" applyFont="1" applyFill="1" applyAlignment="1">
      <alignment/>
    </xf>
    <xf numFmtId="164" fontId="4" fillId="0" borderId="0" xfId="42" applyNumberFormat="1" applyFont="1" applyFill="1" applyAlignment="1">
      <alignment/>
    </xf>
    <xf numFmtId="0" fontId="1" fillId="0" borderId="0" xfId="0" applyFont="1" applyAlignment="1">
      <alignment horizontal="center"/>
    </xf>
    <xf numFmtId="0" fontId="0" fillId="36" borderId="0" xfId="0" applyFill="1" applyAlignment="1">
      <alignment/>
    </xf>
    <xf numFmtId="37" fontId="0" fillId="0" borderId="25" xfId="0" applyNumberFormat="1" applyBorder="1" applyAlignment="1">
      <alignment/>
    </xf>
    <xf numFmtId="0" fontId="0" fillId="0" borderId="25" xfId="0" applyFill="1" applyBorder="1" applyAlignment="1">
      <alignment wrapText="1"/>
    </xf>
    <xf numFmtId="0" fontId="0" fillId="0" borderId="30" xfId="0" applyBorder="1" applyAlignment="1">
      <alignment/>
    </xf>
    <xf numFmtId="0" fontId="32" fillId="0" borderId="31" xfId="0" applyFont="1" applyFill="1" applyBorder="1" applyAlignment="1">
      <alignment/>
    </xf>
    <xf numFmtId="0" fontId="32" fillId="0" borderId="32" xfId="0" applyFont="1" applyFill="1" applyBorder="1" applyAlignment="1">
      <alignment/>
    </xf>
    <xf numFmtId="0" fontId="0" fillId="0" borderId="33" xfId="0" applyFill="1" applyBorder="1" applyAlignment="1">
      <alignment horizontal="center"/>
    </xf>
    <xf numFmtId="0" fontId="0" fillId="0" borderId="27" xfId="0" applyFill="1" applyBorder="1" applyAlignment="1">
      <alignment horizontal="center"/>
    </xf>
    <xf numFmtId="0" fontId="0" fillId="0" borderId="26" xfId="0" applyFont="1" applyBorder="1" applyAlignment="1">
      <alignment/>
    </xf>
    <xf numFmtId="0" fontId="11" fillId="0" borderId="25" xfId="0" applyFont="1" applyFill="1" applyBorder="1" applyAlignment="1">
      <alignment/>
    </xf>
    <xf numFmtId="0" fontId="0" fillId="0" borderId="33" xfId="0" applyFont="1" applyFill="1" applyBorder="1" applyAlignment="1">
      <alignment/>
    </xf>
    <xf numFmtId="0" fontId="0" fillId="0" borderId="26" xfId="0" applyFont="1" applyFill="1" applyBorder="1" applyAlignment="1">
      <alignment/>
    </xf>
    <xf numFmtId="0" fontId="11" fillId="0" borderId="34" xfId="0" applyFont="1" applyFill="1" applyBorder="1" applyAlignment="1">
      <alignment/>
    </xf>
    <xf numFmtId="0" fontId="11" fillId="0" borderId="32" xfId="0" applyFont="1" applyFill="1" applyBorder="1" applyAlignment="1">
      <alignment/>
    </xf>
    <xf numFmtId="0" fontId="0" fillId="34" borderId="28" xfId="0" applyFont="1" applyFill="1" applyBorder="1" applyAlignment="1">
      <alignment horizontal="left"/>
    </xf>
    <xf numFmtId="0" fontId="0" fillId="34" borderId="33" xfId="0" applyFont="1" applyFill="1" applyBorder="1" applyAlignment="1">
      <alignment/>
    </xf>
    <xf numFmtId="0" fontId="11" fillId="0" borderId="35" xfId="0" applyFont="1" applyFill="1" applyBorder="1" applyAlignment="1">
      <alignment/>
    </xf>
    <xf numFmtId="0" fontId="0" fillId="0" borderId="30" xfId="0" applyFont="1" applyBorder="1" applyAlignment="1">
      <alignment/>
    </xf>
    <xf numFmtId="0" fontId="14" fillId="0" borderId="0" xfId="0" applyFont="1" applyBorder="1" applyAlignment="1">
      <alignment horizontal="centerContinuous"/>
    </xf>
    <xf numFmtId="0" fontId="5" fillId="0" borderId="0" xfId="0" applyFont="1" applyBorder="1" applyAlignment="1">
      <alignment horizontal="centerContinuous"/>
    </xf>
    <xf numFmtId="0" fontId="0" fillId="0" borderId="0" xfId="0" applyBorder="1" applyAlignment="1">
      <alignment horizontal="centerContinuous"/>
    </xf>
    <xf numFmtId="0" fontId="0" fillId="0" borderId="0" xfId="0" applyFill="1" applyBorder="1" applyAlignment="1">
      <alignment horizontal="centerContinuous"/>
    </xf>
    <xf numFmtId="0" fontId="0" fillId="34" borderId="28" xfId="0" applyFill="1" applyBorder="1" applyAlignment="1">
      <alignment horizontal="left"/>
    </xf>
    <xf numFmtId="0" fontId="33" fillId="34" borderId="33" xfId="0" applyFont="1" applyFill="1" applyBorder="1" applyAlignment="1">
      <alignment/>
    </xf>
    <xf numFmtId="0" fontId="32" fillId="0" borderId="36" xfId="0" applyFont="1" applyFill="1" applyBorder="1" applyAlignment="1">
      <alignment/>
    </xf>
    <xf numFmtId="0" fontId="32" fillId="0" borderId="32" xfId="0" applyFont="1" applyBorder="1" applyAlignment="1">
      <alignment/>
    </xf>
    <xf numFmtId="9" fontId="12" fillId="0" borderId="0" xfId="0" applyNumberFormat="1" applyFont="1" applyFill="1" applyAlignment="1">
      <alignment/>
    </xf>
    <xf numFmtId="0" fontId="25" fillId="0" borderId="0" xfId="0" applyNumberFormat="1" applyFont="1" applyFill="1" applyAlignment="1">
      <alignment/>
    </xf>
    <xf numFmtId="0" fontId="11" fillId="0" borderId="0" xfId="0" applyFont="1" applyFill="1" applyAlignment="1">
      <alignment/>
    </xf>
    <xf numFmtId="0" fontId="33" fillId="0" borderId="19" xfId="0" applyFont="1" applyFill="1" applyBorder="1" applyAlignment="1">
      <alignment/>
    </xf>
    <xf numFmtId="0" fontId="0" fillId="0" borderId="0" xfId="0" applyFill="1" applyAlignment="1">
      <alignment horizontal="center" vertical="top"/>
    </xf>
    <xf numFmtId="171" fontId="6" fillId="0" borderId="0" xfId="78" applyNumberFormat="1" applyFont="1" applyAlignment="1">
      <alignment horizontal="right"/>
    </xf>
    <xf numFmtId="3" fontId="4" fillId="0" borderId="0" xfId="0" applyNumberFormat="1" applyFont="1" applyBorder="1" applyAlignment="1">
      <alignment horizontal="right"/>
    </xf>
    <xf numFmtId="173" fontId="6" fillId="0" borderId="0" xfId="0" applyNumberFormat="1" applyFont="1" applyAlignment="1">
      <alignment horizontal="right"/>
    </xf>
    <xf numFmtId="173" fontId="6" fillId="0" borderId="13" xfId="0" applyNumberFormat="1" applyFont="1" applyBorder="1" applyAlignment="1">
      <alignment horizontal="right"/>
    </xf>
    <xf numFmtId="3" fontId="6" fillId="0" borderId="0" xfId="0" applyNumberFormat="1" applyFont="1" applyBorder="1" applyAlignment="1">
      <alignment horizontal="right"/>
    </xf>
    <xf numFmtId="3" fontId="4" fillId="0" borderId="12" xfId="0" applyNumberFormat="1" applyFont="1" applyBorder="1" applyAlignment="1">
      <alignment horizontal="right"/>
    </xf>
    <xf numFmtId="0" fontId="0" fillId="0" borderId="0" xfId="0" applyFill="1" applyAlignment="1">
      <alignment horizontal="center"/>
    </xf>
    <xf numFmtId="0" fontId="1" fillId="0" borderId="0" xfId="0" applyFont="1" applyFill="1" applyAlignment="1">
      <alignment/>
    </xf>
    <xf numFmtId="0" fontId="1" fillId="0" borderId="0" xfId="0" applyFont="1" applyFill="1" applyBorder="1" applyAlignment="1">
      <alignment/>
    </xf>
    <xf numFmtId="0" fontId="0" fillId="0" borderId="0" xfId="0" applyFont="1" applyFill="1" applyBorder="1" applyAlignment="1">
      <alignment/>
    </xf>
    <xf numFmtId="171" fontId="6" fillId="0" borderId="0" xfId="0" applyNumberFormat="1" applyFont="1" applyAlignment="1">
      <alignment/>
    </xf>
    <xf numFmtId="0" fontId="10" fillId="0" borderId="0" xfId="0" applyFont="1" applyFill="1" applyBorder="1" applyAlignment="1">
      <alignment/>
    </xf>
    <xf numFmtId="0" fontId="6" fillId="0" borderId="0" xfId="0" applyFont="1" applyFill="1" applyAlignment="1">
      <alignment wrapText="1"/>
    </xf>
    <xf numFmtId="0" fontId="43" fillId="0" borderId="0" xfId="0" applyFont="1" applyFill="1" applyAlignment="1">
      <alignment/>
    </xf>
    <xf numFmtId="0" fontId="4" fillId="0" borderId="0" xfId="0" applyFont="1" applyFill="1" applyAlignment="1">
      <alignment horizontal="center"/>
    </xf>
    <xf numFmtId="171" fontId="6" fillId="0" borderId="0" xfId="0" applyNumberFormat="1" applyFont="1" applyFill="1" applyAlignment="1">
      <alignment/>
    </xf>
    <xf numFmtId="3" fontId="6" fillId="0" borderId="13" xfId="0" applyNumberFormat="1" applyFont="1" applyBorder="1" applyAlignment="1">
      <alignment/>
    </xf>
    <xf numFmtId="0" fontId="14" fillId="0" borderId="0" xfId="0" applyFont="1" applyBorder="1" applyAlignment="1">
      <alignment horizontal="center"/>
    </xf>
    <xf numFmtId="0" fontId="23" fillId="0" borderId="0" xfId="0" applyFont="1" applyBorder="1" applyAlignment="1">
      <alignment/>
    </xf>
    <xf numFmtId="0" fontId="30" fillId="0" borderId="0" xfId="0" applyFont="1" applyFill="1" applyAlignment="1">
      <alignment horizontal="center"/>
    </xf>
    <xf numFmtId="0" fontId="23" fillId="0" borderId="0" xfId="0" applyFont="1" applyAlignment="1">
      <alignment/>
    </xf>
    <xf numFmtId="0" fontId="10" fillId="0" borderId="0" xfId="0" applyFont="1" applyFill="1" applyAlignment="1">
      <alignment/>
    </xf>
    <xf numFmtId="37" fontId="0" fillId="0" borderId="0" xfId="0" applyNumberFormat="1" applyFill="1" applyBorder="1" applyAlignment="1">
      <alignment wrapText="1"/>
    </xf>
    <xf numFmtId="164" fontId="0" fillId="0" borderId="0" xfId="0" applyNumberFormat="1" applyFill="1" applyBorder="1" applyAlignment="1">
      <alignment wrapText="1"/>
    </xf>
    <xf numFmtId="0" fontId="28" fillId="0" borderId="0" xfId="0" applyFont="1" applyFill="1" applyAlignment="1">
      <alignment horizontal="left"/>
    </xf>
    <xf numFmtId="3" fontId="6" fillId="0" borderId="12" xfId="0" applyNumberFormat="1" applyFont="1" applyFill="1" applyBorder="1" applyAlignment="1">
      <alignment/>
    </xf>
    <xf numFmtId="0" fontId="6" fillId="0" borderId="13" xfId="0" applyFont="1" applyFill="1" applyBorder="1" applyAlignment="1">
      <alignment horizontal="left"/>
    </xf>
    <xf numFmtId="3" fontId="4" fillId="0" borderId="12" xfId="0" applyNumberFormat="1" applyFont="1" applyFill="1" applyBorder="1" applyAlignment="1">
      <alignment/>
    </xf>
    <xf numFmtId="3" fontId="4" fillId="0" borderId="0" xfId="0" applyNumberFormat="1" applyFont="1" applyFill="1" applyAlignment="1">
      <alignment/>
    </xf>
    <xf numFmtId="3" fontId="4" fillId="0" borderId="12" xfId="0" applyNumberFormat="1" applyFont="1" applyFill="1" applyBorder="1" applyAlignment="1">
      <alignment/>
    </xf>
    <xf numFmtId="168" fontId="6" fillId="0" borderId="0" xfId="0" applyNumberFormat="1" applyFont="1" applyFill="1" applyAlignment="1">
      <alignment horizontal="left"/>
    </xf>
    <xf numFmtId="3" fontId="14" fillId="0" borderId="14" xfId="0" applyNumberFormat="1" applyFont="1" applyFill="1" applyBorder="1" applyAlignment="1">
      <alignment/>
    </xf>
    <xf numFmtId="0" fontId="35" fillId="0" borderId="0" xfId="0" applyFont="1" applyFill="1" applyAlignment="1">
      <alignment/>
    </xf>
    <xf numFmtId="0" fontId="51" fillId="0" borderId="0" xfId="0" applyFont="1" applyBorder="1" applyAlignment="1">
      <alignment/>
    </xf>
    <xf numFmtId="43" fontId="33" fillId="34" borderId="17" xfId="42" applyNumberFormat="1" applyFont="1" applyFill="1" applyBorder="1" applyAlignment="1">
      <alignment/>
    </xf>
    <xf numFmtId="164" fontId="36" fillId="0" borderId="20" xfId="42" applyNumberFormat="1" applyFont="1" applyBorder="1" applyAlignment="1">
      <alignment horizontal="center"/>
    </xf>
    <xf numFmtId="164" fontId="36" fillId="0" borderId="17" xfId="0" applyNumberFormat="1" applyFont="1" applyBorder="1" applyAlignment="1">
      <alignment/>
    </xf>
    <xf numFmtId="164" fontId="36" fillId="0" borderId="37" xfId="0" applyNumberFormat="1" applyFont="1" applyBorder="1" applyAlignment="1">
      <alignment/>
    </xf>
    <xf numFmtId="167" fontId="0" fillId="0" borderId="0" xfId="0" applyNumberFormat="1" applyAlignment="1">
      <alignment/>
    </xf>
    <xf numFmtId="0" fontId="53" fillId="0" borderId="0" xfId="0" applyFont="1" applyFill="1" applyBorder="1" applyAlignment="1">
      <alignment horizontal="left"/>
    </xf>
    <xf numFmtId="0" fontId="53" fillId="0" borderId="0" xfId="0" applyFont="1" applyFill="1" applyBorder="1" applyAlignment="1">
      <alignment horizontal="center"/>
    </xf>
    <xf numFmtId="0" fontId="53" fillId="0" borderId="16" xfId="0" applyFont="1" applyFill="1" applyBorder="1" applyAlignment="1">
      <alignment horizontal="center"/>
    </xf>
    <xf numFmtId="0" fontId="4" fillId="0" borderId="11" xfId="0" applyNumberFormat="1" applyFont="1" applyFill="1" applyBorder="1" applyAlignment="1">
      <alignment horizontal="left"/>
    </xf>
    <xf numFmtId="0" fontId="6" fillId="0" borderId="0" xfId="0" applyNumberFormat="1" applyFont="1" applyFill="1" applyAlignment="1">
      <alignment horizontal="right"/>
    </xf>
    <xf numFmtId="0" fontId="4" fillId="0" borderId="0" xfId="0" applyNumberFormat="1" applyFont="1" applyFill="1" applyAlignment="1">
      <alignment horizontal="left"/>
    </xf>
    <xf numFmtId="0" fontId="54" fillId="0" borderId="0" xfId="0" applyNumberFormat="1" applyFont="1" applyFill="1" applyAlignment="1">
      <alignment horizontal="left"/>
    </xf>
    <xf numFmtId="0" fontId="4" fillId="0" borderId="11" xfId="0" applyFont="1" applyFill="1" applyBorder="1" applyAlignment="1">
      <alignment/>
    </xf>
    <xf numFmtId="0" fontId="4" fillId="0" borderId="0" xfId="0" applyNumberFormat="1" applyFont="1" applyFill="1" applyAlignment="1">
      <alignment horizontal="right"/>
    </xf>
    <xf numFmtId="0" fontId="4" fillId="0" borderId="12" xfId="0" applyNumberFormat="1" applyFont="1" applyBorder="1" applyAlignment="1">
      <alignment horizontal="left"/>
    </xf>
    <xf numFmtId="0" fontId="21" fillId="33" borderId="0" xfId="0" applyFont="1" applyFill="1" applyAlignment="1">
      <alignment horizontal="left"/>
    </xf>
    <xf numFmtId="0" fontId="21" fillId="33" borderId="0" xfId="0" applyFont="1" applyFill="1" applyAlignment="1">
      <alignment/>
    </xf>
    <xf numFmtId="0" fontId="4" fillId="33" borderId="0" xfId="0" applyNumberFormat="1" applyFont="1" applyFill="1" applyAlignment="1">
      <alignment horizontal="left"/>
    </xf>
    <xf numFmtId="0" fontId="6" fillId="33" borderId="0" xfId="0" applyFont="1" applyFill="1" applyAlignment="1">
      <alignment/>
    </xf>
    <xf numFmtId="0" fontId="6" fillId="0" borderId="11" xfId="0" applyFont="1" applyBorder="1" applyAlignment="1">
      <alignment/>
    </xf>
    <xf numFmtId="0" fontId="6" fillId="0" borderId="13" xfId="0" applyNumberFormat="1" applyFont="1" applyBorder="1" applyAlignment="1">
      <alignment horizontal="center"/>
    </xf>
    <xf numFmtId="0" fontId="6" fillId="0" borderId="12" xfId="0" applyFont="1" applyBorder="1" applyAlignment="1">
      <alignment/>
    </xf>
    <xf numFmtId="0" fontId="33" fillId="0" borderId="17" xfId="0" applyFont="1" applyFill="1" applyBorder="1" applyAlignment="1">
      <alignment/>
    </xf>
    <xf numFmtId="3" fontId="4" fillId="0" borderId="0" xfId="0" applyNumberFormat="1" applyFont="1" applyFill="1" applyAlignment="1">
      <alignment horizontal="right"/>
    </xf>
    <xf numFmtId="173" fontId="8" fillId="0" borderId="0" xfId="0" applyNumberFormat="1" applyFont="1" applyAlignment="1">
      <alignment horizontal="right"/>
    </xf>
    <xf numFmtId="37" fontId="4" fillId="0" borderId="0" xfId="0" applyNumberFormat="1" applyFont="1" applyBorder="1" applyAlignment="1">
      <alignment horizontal="right"/>
    </xf>
    <xf numFmtId="3" fontId="8" fillId="0" borderId="0" xfId="0" applyNumberFormat="1" applyFont="1" applyFill="1" applyBorder="1" applyAlignment="1">
      <alignment horizontal="right"/>
    </xf>
    <xf numFmtId="3" fontId="6" fillId="0" borderId="0" xfId="0" applyNumberFormat="1" applyFont="1" applyFill="1" applyBorder="1" applyAlignment="1">
      <alignment horizontal="right"/>
    </xf>
    <xf numFmtId="4" fontId="8" fillId="0" borderId="0" xfId="0" applyNumberFormat="1" applyFont="1" applyFill="1" applyAlignment="1">
      <alignment horizontal="right"/>
    </xf>
    <xf numFmtId="3" fontId="8" fillId="0" borderId="0" xfId="0" applyNumberFormat="1" applyFont="1" applyFill="1" applyAlignment="1">
      <alignment horizontal="right"/>
    </xf>
    <xf numFmtId="37" fontId="0" fillId="0" borderId="0" xfId="0" applyNumberFormat="1" applyFill="1" applyAlignment="1">
      <alignment horizontal="center"/>
    </xf>
    <xf numFmtId="0" fontId="1" fillId="0" borderId="0" xfId="0" applyFont="1" applyFill="1" applyAlignment="1">
      <alignment horizontal="left"/>
    </xf>
    <xf numFmtId="164" fontId="0" fillId="0" borderId="0" xfId="0" applyNumberFormat="1" applyFont="1" applyFill="1" applyAlignment="1">
      <alignment/>
    </xf>
    <xf numFmtId="167" fontId="14" fillId="0" borderId="14" xfId="48" applyNumberFormat="1" applyFont="1" applyBorder="1" applyAlignment="1">
      <alignment horizontal="center"/>
    </xf>
    <xf numFmtId="167" fontId="4" fillId="0" borderId="0" xfId="48" applyNumberFormat="1" applyFont="1" applyBorder="1" applyAlignment="1">
      <alignment horizontal="right"/>
    </xf>
    <xf numFmtId="0" fontId="0" fillId="0" borderId="0" xfId="0" applyFont="1" applyFill="1" applyAlignment="1">
      <alignment horizontal="center"/>
    </xf>
    <xf numFmtId="0" fontId="0" fillId="0" borderId="0" xfId="0" applyFont="1" applyFill="1" applyAlignment="1">
      <alignment horizontal="center"/>
    </xf>
    <xf numFmtId="0" fontId="0" fillId="0" borderId="0" xfId="0" applyFont="1" applyAlignment="1">
      <alignment/>
    </xf>
    <xf numFmtId="0" fontId="45" fillId="0" borderId="0" xfId="0" applyFont="1" applyFill="1" applyAlignment="1">
      <alignment/>
    </xf>
    <xf numFmtId="164" fontId="0" fillId="0" borderId="0" xfId="42" applyNumberFormat="1" applyFont="1" applyFill="1" applyBorder="1" applyAlignment="1">
      <alignment/>
    </xf>
    <xf numFmtId="0" fontId="0" fillId="0" borderId="0" xfId="0" applyFont="1" applyFill="1" applyAlignment="1">
      <alignment horizontal="center" vertical="top"/>
    </xf>
    <xf numFmtId="164" fontId="0" fillId="0" borderId="0" xfId="42" applyNumberFormat="1" applyFont="1" applyAlignment="1">
      <alignment/>
    </xf>
    <xf numFmtId="0" fontId="33" fillId="0" borderId="0" xfId="0" applyFont="1" applyFill="1" applyAlignment="1">
      <alignment vertical="center" wrapText="1"/>
    </xf>
    <xf numFmtId="164" fontId="0" fillId="34" borderId="0" xfId="42" applyNumberFormat="1" applyFont="1" applyFill="1" applyBorder="1" applyAlignment="1">
      <alignment/>
    </xf>
    <xf numFmtId="0" fontId="55" fillId="35" borderId="37" xfId="0" applyFont="1" applyFill="1" applyBorder="1" applyAlignment="1">
      <alignment horizontal="left"/>
    </xf>
    <xf numFmtId="0" fontId="4" fillId="0" borderId="12" xfId="0" applyFont="1" applyFill="1" applyBorder="1" applyAlignment="1">
      <alignment horizontal="center"/>
    </xf>
    <xf numFmtId="3" fontId="6" fillId="0" borderId="0" xfId="0" applyNumberFormat="1" applyFont="1" applyFill="1" applyBorder="1" applyAlignment="1">
      <alignment horizontal="center"/>
    </xf>
    <xf numFmtId="0" fontId="6" fillId="0" borderId="0" xfId="0" applyNumberFormat="1" applyFont="1" applyFill="1" applyAlignment="1">
      <alignment/>
    </xf>
    <xf numFmtId="0" fontId="14" fillId="0" borderId="14" xfId="0" applyNumberFormat="1" applyFont="1" applyFill="1" applyBorder="1" applyAlignment="1">
      <alignment/>
    </xf>
    <xf numFmtId="0" fontId="14" fillId="0" borderId="0" xfId="0" applyNumberFormat="1" applyFont="1" applyFill="1" applyBorder="1" applyAlignment="1">
      <alignment/>
    </xf>
    <xf numFmtId="0" fontId="4" fillId="0" borderId="11" xfId="0" applyFont="1" applyFill="1" applyBorder="1" applyAlignment="1">
      <alignment/>
    </xf>
    <xf numFmtId="0" fontId="6" fillId="0" borderId="13" xfId="0" applyFont="1" applyFill="1" applyBorder="1" applyAlignment="1">
      <alignment/>
    </xf>
    <xf numFmtId="0" fontId="6" fillId="0" borderId="11" xfId="0" applyNumberFormat="1" applyFont="1" applyFill="1" applyBorder="1" applyAlignment="1">
      <alignment horizontal="left"/>
    </xf>
    <xf numFmtId="3" fontId="6" fillId="0" borderId="13" xfId="0" applyNumberFormat="1" applyFont="1" applyFill="1" applyBorder="1" applyAlignment="1">
      <alignment horizontal="center"/>
    </xf>
    <xf numFmtId="37" fontId="0" fillId="0" borderId="0" xfId="0" applyNumberFormat="1" applyFill="1" applyAlignment="1">
      <alignment horizontal="left"/>
    </xf>
    <xf numFmtId="0" fontId="11" fillId="0" borderId="25" xfId="0" applyFont="1" applyFill="1" applyBorder="1" applyAlignment="1">
      <alignment/>
    </xf>
    <xf numFmtId="0" fontId="11" fillId="0" borderId="32" xfId="0" applyFont="1" applyFill="1" applyBorder="1" applyAlignment="1">
      <alignment/>
    </xf>
    <xf numFmtId="0" fontId="14" fillId="0" borderId="0" xfId="0" applyFont="1" applyFill="1" applyAlignment="1">
      <alignment horizontal="center"/>
    </xf>
    <xf numFmtId="0" fontId="8" fillId="0" borderId="0" xfId="0" applyNumberFormat="1" applyFont="1" applyFill="1" applyAlignment="1">
      <alignment/>
    </xf>
    <xf numFmtId="0" fontId="22" fillId="33" borderId="0" xfId="0" applyNumberFormat="1" applyFont="1" applyFill="1" applyAlignment="1">
      <alignment horizontal="left"/>
    </xf>
    <xf numFmtId="0" fontId="0" fillId="34" borderId="32" xfId="0" applyFont="1" applyFill="1" applyBorder="1" applyAlignment="1">
      <alignment horizontal="center"/>
    </xf>
    <xf numFmtId="0" fontId="0" fillId="34" borderId="26" xfId="0" applyFont="1" applyFill="1" applyBorder="1" applyAlignment="1">
      <alignment horizontal="center"/>
    </xf>
    <xf numFmtId="37" fontId="0" fillId="0" borderId="25" xfId="0" applyNumberFormat="1" applyFill="1" applyBorder="1" applyAlignment="1">
      <alignment wrapText="1"/>
    </xf>
    <xf numFmtId="0" fontId="4" fillId="0" borderId="12" xfId="0" applyFont="1" applyBorder="1" applyAlignment="1">
      <alignment horizontal="left"/>
    </xf>
    <xf numFmtId="164" fontId="6" fillId="0" borderId="0" xfId="42" applyNumberFormat="1" applyFont="1" applyFill="1" applyBorder="1" applyAlignment="1">
      <alignment/>
    </xf>
    <xf numFmtId="164" fontId="0" fillId="34" borderId="0" xfId="42" applyNumberFormat="1" applyFont="1" applyFill="1" applyAlignment="1">
      <alignment/>
    </xf>
    <xf numFmtId="0" fontId="1" fillId="0" borderId="0" xfId="0" applyFont="1" applyAlignment="1">
      <alignment/>
    </xf>
    <xf numFmtId="0" fontId="0" fillId="0" borderId="0" xfId="0" applyFill="1" applyAlignment="1">
      <alignment horizontal="left" wrapText="1"/>
    </xf>
    <xf numFmtId="0" fontId="0" fillId="0" borderId="0" xfId="0" applyFill="1" applyAlignment="1">
      <alignment horizontal="left" vertical="center" wrapText="1"/>
    </xf>
    <xf numFmtId="0" fontId="0" fillId="37" borderId="0" xfId="0" applyFill="1" applyAlignment="1">
      <alignment/>
    </xf>
    <xf numFmtId="0" fontId="0" fillId="0" borderId="20" xfId="0" applyBorder="1" applyAlignment="1">
      <alignment horizontal="center"/>
    </xf>
    <xf numFmtId="0" fontId="0" fillId="0" borderId="20" xfId="0" applyBorder="1" applyAlignment="1">
      <alignment/>
    </xf>
    <xf numFmtId="0" fontId="0" fillId="0" borderId="21" xfId="0" applyBorder="1" applyAlignment="1">
      <alignment horizontal="center"/>
    </xf>
    <xf numFmtId="0" fontId="33" fillId="34" borderId="19" xfId="0" applyFont="1" applyFill="1" applyBorder="1" applyAlignment="1">
      <alignment horizontal="center"/>
    </xf>
    <xf numFmtId="3" fontId="33" fillId="34" borderId="17" xfId="0" applyNumberFormat="1" applyFont="1" applyFill="1" applyBorder="1" applyAlignment="1">
      <alignment horizontal="center"/>
    </xf>
    <xf numFmtId="0" fontId="33" fillId="0" borderId="22" xfId="0" applyFont="1" applyBorder="1" applyAlignment="1">
      <alignment/>
    </xf>
    <xf numFmtId="0" fontId="33" fillId="0" borderId="23" xfId="0" applyFont="1" applyBorder="1" applyAlignment="1">
      <alignment/>
    </xf>
    <xf numFmtId="0" fontId="33" fillId="0" borderId="23" xfId="0" applyFont="1" applyFill="1" applyBorder="1" applyAlignment="1">
      <alignment horizontal="center"/>
    </xf>
    <xf numFmtId="0" fontId="33" fillId="0" borderId="24" xfId="0" applyFont="1" applyBorder="1" applyAlignment="1">
      <alignment/>
    </xf>
    <xf numFmtId="2" fontId="33" fillId="34" borderId="17" xfId="0" applyNumberFormat="1" applyFont="1" applyFill="1" applyBorder="1" applyAlignment="1">
      <alignment horizontal="center"/>
    </xf>
    <xf numFmtId="0" fontId="6" fillId="0" borderId="0" xfId="0" applyFont="1" applyFill="1" applyBorder="1" applyAlignment="1">
      <alignment horizontal="right"/>
    </xf>
    <xf numFmtId="3" fontId="15" fillId="0" borderId="13" xfId="0" applyNumberFormat="1" applyFont="1" applyFill="1" applyBorder="1" applyAlignment="1">
      <alignment horizontal="right"/>
    </xf>
    <xf numFmtId="10" fontId="6" fillId="0" borderId="0" xfId="0" applyNumberFormat="1" applyFont="1" applyFill="1" applyAlignment="1">
      <alignment/>
    </xf>
    <xf numFmtId="3" fontId="14" fillId="0" borderId="14" xfId="0" applyNumberFormat="1" applyFont="1" applyFill="1" applyBorder="1" applyAlignment="1">
      <alignment/>
    </xf>
    <xf numFmtId="173" fontId="0" fillId="0" borderId="0" xfId="0" applyNumberFormat="1" applyFill="1" applyAlignment="1">
      <alignment/>
    </xf>
    <xf numFmtId="0" fontId="33" fillId="0" borderId="18" xfId="0" applyFont="1" applyFill="1" applyBorder="1" applyAlignment="1">
      <alignment/>
    </xf>
    <xf numFmtId="164" fontId="6" fillId="34" borderId="0" xfId="42" applyNumberFormat="1" applyFont="1" applyFill="1" applyAlignment="1">
      <alignment/>
    </xf>
    <xf numFmtId="3" fontId="6" fillId="34" borderId="0" xfId="0" applyNumberFormat="1" applyFont="1" applyFill="1" applyAlignment="1">
      <alignment/>
    </xf>
    <xf numFmtId="3" fontId="6" fillId="34" borderId="13" xfId="0" applyNumberFormat="1" applyFont="1" applyFill="1" applyBorder="1" applyAlignment="1">
      <alignment/>
    </xf>
    <xf numFmtId="3" fontId="6" fillId="34" borderId="0" xfId="0" applyNumberFormat="1" applyFont="1" applyFill="1" applyBorder="1" applyAlignment="1">
      <alignment/>
    </xf>
    <xf numFmtId="3" fontId="6" fillId="34" borderId="0" xfId="0" applyNumberFormat="1" applyFont="1" applyFill="1" applyAlignment="1">
      <alignment horizontal="right"/>
    </xf>
    <xf numFmtId="3" fontId="6" fillId="34" borderId="13" xfId="0" applyNumberFormat="1" applyFont="1" applyFill="1" applyBorder="1" applyAlignment="1">
      <alignment horizontal="right"/>
    </xf>
    <xf numFmtId="10" fontId="6" fillId="34" borderId="0" xfId="0" applyNumberFormat="1" applyFont="1" applyFill="1" applyAlignment="1">
      <alignment/>
    </xf>
    <xf numFmtId="0" fontId="55" fillId="0" borderId="0" xfId="0" applyNumberFormat="1" applyFont="1" applyFill="1" applyBorder="1" applyAlignment="1">
      <alignment horizontal="center"/>
    </xf>
    <xf numFmtId="0" fontId="55" fillId="0" borderId="0" xfId="0" applyNumberFormat="1" applyFont="1" applyFill="1" applyBorder="1" applyAlignment="1">
      <alignment horizontal="left"/>
    </xf>
    <xf numFmtId="0" fontId="63" fillId="0" borderId="0" xfId="0" applyFont="1" applyFill="1" applyBorder="1" applyAlignment="1">
      <alignment/>
    </xf>
    <xf numFmtId="0" fontId="64" fillId="0" borderId="0" xfId="0" applyFont="1" applyFill="1" applyBorder="1" applyAlignment="1">
      <alignment horizontal="center"/>
    </xf>
    <xf numFmtId="37" fontId="65" fillId="0" borderId="0" xfId="0" applyNumberFormat="1" applyFont="1" applyFill="1" applyBorder="1" applyAlignment="1">
      <alignment horizontal="left"/>
    </xf>
    <xf numFmtId="0" fontId="66" fillId="0" borderId="0" xfId="0" applyNumberFormat="1" applyFont="1" applyFill="1" applyBorder="1" applyAlignment="1">
      <alignment horizontal="center"/>
    </xf>
    <xf numFmtId="0" fontId="67" fillId="0" borderId="0" xfId="0" applyNumberFormat="1" applyFont="1" applyFill="1" applyAlignment="1">
      <alignment horizontal="center"/>
    </xf>
    <xf numFmtId="0" fontId="63" fillId="0" borderId="0" xfId="0" applyFont="1" applyFill="1" applyAlignment="1">
      <alignment/>
    </xf>
    <xf numFmtId="0" fontId="63" fillId="0" borderId="0" xfId="0" applyFont="1" applyFill="1" applyAlignment="1">
      <alignment/>
    </xf>
    <xf numFmtId="0" fontId="63" fillId="0" borderId="0" xfId="0" applyFont="1" applyFill="1" applyAlignment="1">
      <alignment horizontal="left"/>
    </xf>
    <xf numFmtId="0" fontId="63" fillId="0" borderId="0" xfId="0" applyFont="1" applyFill="1" applyAlignment="1">
      <alignment horizontal="center"/>
    </xf>
    <xf numFmtId="0" fontId="63" fillId="0" borderId="0" xfId="0" applyFont="1" applyAlignment="1">
      <alignment horizontal="left"/>
    </xf>
    <xf numFmtId="0" fontId="63" fillId="0" borderId="0" xfId="0" applyFont="1" applyAlignment="1">
      <alignment/>
    </xf>
    <xf numFmtId="0" fontId="63" fillId="0" borderId="0" xfId="0" applyFont="1" applyAlignment="1">
      <alignment horizontal="center"/>
    </xf>
    <xf numFmtId="0" fontId="63" fillId="0" borderId="0" xfId="0" applyFont="1" applyAlignment="1">
      <alignment/>
    </xf>
    <xf numFmtId="0" fontId="23" fillId="0" borderId="0" xfId="0" applyFont="1" applyFill="1" applyBorder="1" applyAlignment="1">
      <alignment/>
    </xf>
    <xf numFmtId="0" fontId="23" fillId="0" borderId="0" xfId="0" applyFont="1" applyFill="1" applyAlignment="1">
      <alignment horizontal="left"/>
    </xf>
    <xf numFmtId="37" fontId="14" fillId="0" borderId="0" xfId="0" applyNumberFormat="1" applyFont="1" applyFill="1" applyBorder="1" applyAlignment="1">
      <alignment horizontal="right"/>
    </xf>
    <xf numFmtId="0" fontId="23" fillId="0" borderId="0" xfId="0" applyNumberFormat="1" applyFont="1" applyFill="1" applyAlignment="1">
      <alignment/>
    </xf>
    <xf numFmtId="0" fontId="23" fillId="0" borderId="0" xfId="0" applyFont="1" applyFill="1" applyAlignment="1">
      <alignment/>
    </xf>
    <xf numFmtId="170" fontId="23" fillId="0" borderId="0" xfId="72" applyFont="1" applyFill="1" applyAlignment="1" applyProtection="1">
      <alignment/>
      <protection locked="0"/>
    </xf>
    <xf numFmtId="0" fontId="23" fillId="0" borderId="0" xfId="0" applyFont="1" applyFill="1" applyAlignment="1">
      <alignment/>
    </xf>
    <xf numFmtId="0" fontId="23" fillId="0" borderId="0" xfId="0" applyFont="1" applyAlignment="1">
      <alignment/>
    </xf>
    <xf numFmtId="0" fontId="37" fillId="0" borderId="0" xfId="0" applyFont="1" applyFill="1" applyBorder="1" applyAlignment="1">
      <alignment horizontal="center"/>
    </xf>
    <xf numFmtId="37" fontId="23" fillId="0" borderId="0" xfId="0" applyNumberFormat="1" applyFont="1" applyFill="1" applyBorder="1" applyAlignment="1">
      <alignment horizontal="left"/>
    </xf>
    <xf numFmtId="0" fontId="23" fillId="0" borderId="0" xfId="0" applyFont="1" applyFill="1" applyBorder="1" applyAlignment="1">
      <alignment/>
    </xf>
    <xf numFmtId="0" fontId="23" fillId="0" borderId="0" xfId="0" applyNumberFormat="1" applyFont="1" applyFill="1" applyAlignment="1">
      <alignment horizontal="center"/>
    </xf>
    <xf numFmtId="0" fontId="23" fillId="0" borderId="0" xfId="0" applyFont="1" applyFill="1" applyBorder="1" applyAlignment="1">
      <alignment horizontal="left"/>
    </xf>
    <xf numFmtId="176" fontId="23" fillId="0" borderId="0" xfId="0" applyNumberFormat="1" applyFont="1" applyFill="1" applyBorder="1" applyAlignment="1">
      <alignment horizontal="left"/>
    </xf>
    <xf numFmtId="0" fontId="23" fillId="0" borderId="0" xfId="0" applyFont="1" applyFill="1" applyAlignment="1">
      <alignment horizontal="center"/>
    </xf>
    <xf numFmtId="0" fontId="0" fillId="0" borderId="0" xfId="0" applyFont="1" applyFill="1" applyAlignment="1">
      <alignment horizontal="left"/>
    </xf>
    <xf numFmtId="0" fontId="1" fillId="0" borderId="0" xfId="0" applyFont="1" applyFill="1" applyAlignment="1">
      <alignment/>
    </xf>
    <xf numFmtId="164" fontId="0" fillId="0" borderId="0" xfId="42" applyNumberFormat="1" applyFill="1" applyAlignment="1">
      <alignment/>
    </xf>
    <xf numFmtId="0" fontId="33" fillId="0" borderId="37" xfId="0" applyFont="1" applyFill="1" applyBorder="1" applyAlignment="1">
      <alignment/>
    </xf>
    <xf numFmtId="0" fontId="36" fillId="0" borderId="19" xfId="0" applyFont="1" applyFill="1" applyBorder="1" applyAlignment="1">
      <alignment horizontal="center" wrapText="1"/>
    </xf>
    <xf numFmtId="0" fontId="36" fillId="0" borderId="21" xfId="0" applyFont="1" applyFill="1" applyBorder="1" applyAlignment="1">
      <alignment horizontal="center" wrapText="1"/>
    </xf>
    <xf numFmtId="167" fontId="33" fillId="0" borderId="17" xfId="0" applyNumberFormat="1" applyFont="1" applyBorder="1" applyAlignment="1">
      <alignment/>
    </xf>
    <xf numFmtId="167" fontId="33" fillId="0" borderId="37" xfId="0" applyNumberFormat="1" applyFont="1" applyBorder="1" applyAlignment="1">
      <alignment/>
    </xf>
    <xf numFmtId="0" fontId="23" fillId="0" borderId="13" xfId="0" applyFont="1" applyBorder="1" applyAlignment="1">
      <alignment/>
    </xf>
    <xf numFmtId="0" fontId="6" fillId="0" borderId="0" xfId="0" applyNumberFormat="1" applyFont="1" applyFill="1" applyBorder="1" applyAlignment="1">
      <alignment horizontal="left"/>
    </xf>
    <xf numFmtId="3" fontId="6" fillId="34" borderId="0" xfId="0" applyNumberFormat="1" applyFont="1" applyFill="1" applyBorder="1" applyAlignment="1">
      <alignment horizontal="right"/>
    </xf>
    <xf numFmtId="164" fontId="6" fillId="0" borderId="13" xfId="42" applyNumberFormat="1" applyFont="1" applyFill="1" applyBorder="1" applyAlignment="1">
      <alignment/>
    </xf>
    <xf numFmtId="3" fontId="4" fillId="0" borderId="13" xfId="0" applyNumberFormat="1" applyFont="1" applyBorder="1" applyAlignment="1">
      <alignment/>
    </xf>
    <xf numFmtId="172" fontId="6" fillId="0" borderId="0" xfId="42" applyNumberFormat="1" applyFont="1" applyFill="1" applyBorder="1" applyAlignment="1">
      <alignment/>
    </xf>
    <xf numFmtId="170" fontId="6" fillId="0" borderId="0" xfId="0" applyNumberFormat="1" applyFont="1" applyFill="1" applyAlignment="1">
      <alignment/>
    </xf>
    <xf numFmtId="0" fontId="4" fillId="0" borderId="0" xfId="0" applyFont="1" applyAlignment="1">
      <alignment horizontal="left"/>
    </xf>
    <xf numFmtId="0" fontId="51" fillId="0" borderId="0" xfId="0" applyFont="1" applyFill="1" applyBorder="1" applyAlignment="1">
      <alignment/>
    </xf>
    <xf numFmtId="0" fontId="52" fillId="0" borderId="0" xfId="0" applyFont="1" applyFill="1" applyBorder="1" applyAlignment="1">
      <alignment horizontal="left"/>
    </xf>
    <xf numFmtId="0" fontId="0" fillId="0" borderId="0" xfId="0" applyFont="1" applyAlignment="1">
      <alignment horizontal="left"/>
    </xf>
    <xf numFmtId="0" fontId="9" fillId="0" borderId="0" xfId="0" applyFont="1" applyFill="1" applyAlignment="1">
      <alignment/>
    </xf>
    <xf numFmtId="0" fontId="68" fillId="0" borderId="0" xfId="0" applyFont="1" applyFill="1" applyAlignment="1">
      <alignment/>
    </xf>
    <xf numFmtId="0" fontId="9" fillId="0" borderId="0" xfId="0" applyFont="1" applyFill="1" applyAlignment="1">
      <alignment/>
    </xf>
    <xf numFmtId="164" fontId="60" fillId="0" borderId="0" xfId="42" applyNumberFormat="1" applyFont="1" applyFill="1" applyAlignment="1">
      <alignment/>
    </xf>
    <xf numFmtId="0" fontId="59" fillId="0" borderId="0" xfId="0" applyFont="1" applyFill="1" applyAlignment="1">
      <alignment/>
    </xf>
    <xf numFmtId="0" fontId="38" fillId="0" borderId="0" xfId="0" applyFont="1" applyFill="1" applyAlignment="1">
      <alignment/>
    </xf>
    <xf numFmtId="0" fontId="57" fillId="0" borderId="0" xfId="0" applyFont="1" applyFill="1" applyAlignment="1">
      <alignment/>
    </xf>
    <xf numFmtId="173" fontId="33" fillId="0" borderId="17" xfId="0" applyNumberFormat="1" applyFont="1" applyBorder="1" applyAlignment="1">
      <alignment/>
    </xf>
    <xf numFmtId="0" fontId="0" fillId="0" borderId="0" xfId="0" applyNumberFormat="1" applyFont="1" applyFill="1" applyBorder="1" applyAlignment="1">
      <alignment/>
    </xf>
    <xf numFmtId="37" fontId="0" fillId="0" borderId="0" xfId="0" applyNumberFormat="1" applyBorder="1" applyAlignment="1">
      <alignment/>
    </xf>
    <xf numFmtId="164" fontId="0" fillId="34" borderId="0" xfId="42" applyNumberFormat="1" applyFont="1" applyFill="1" applyAlignment="1">
      <alignment wrapText="1"/>
    </xf>
    <xf numFmtId="164" fontId="0" fillId="34" borderId="0" xfId="42" applyNumberFormat="1" applyFont="1" applyFill="1" applyAlignment="1">
      <alignment/>
    </xf>
    <xf numFmtId="0" fontId="24" fillId="0" borderId="0" xfId="0" applyFont="1" applyFill="1" applyAlignment="1">
      <alignment vertical="center" wrapText="1"/>
    </xf>
    <xf numFmtId="0" fontId="4" fillId="0" borderId="0" xfId="0" applyFont="1" applyFill="1" applyAlignment="1">
      <alignment/>
    </xf>
    <xf numFmtId="0" fontId="14" fillId="0" borderId="0" xfId="0" applyFont="1" applyFill="1" applyBorder="1" applyAlignment="1">
      <alignment horizontal="centerContinuous"/>
    </xf>
    <xf numFmtId="0" fontId="47" fillId="0" borderId="0" xfId="0" applyFont="1" applyFill="1" applyBorder="1" applyAlignment="1">
      <alignment/>
    </xf>
    <xf numFmtId="0" fontId="0" fillId="0" borderId="0" xfId="0" applyFill="1" applyBorder="1" applyAlignment="1">
      <alignment horizontal="left"/>
    </xf>
    <xf numFmtId="164" fontId="0" fillId="0" borderId="0" xfId="42" applyNumberFormat="1" applyFill="1" applyBorder="1" applyAlignment="1">
      <alignment/>
    </xf>
    <xf numFmtId="0" fontId="8" fillId="36" borderId="0" xfId="0" applyFont="1" applyFill="1" applyBorder="1" applyAlignment="1">
      <alignment horizontal="center"/>
    </xf>
    <xf numFmtId="0" fontId="6" fillId="36" borderId="0" xfId="0" applyFont="1" applyFill="1" applyAlignment="1">
      <alignment horizontal="center"/>
    </xf>
    <xf numFmtId="0" fontId="23" fillId="36" borderId="0" xfId="0" applyFont="1" applyFill="1" applyBorder="1" applyAlignment="1">
      <alignment/>
    </xf>
    <xf numFmtId="0" fontId="37" fillId="36" borderId="0" xfId="0" applyFont="1" applyFill="1" applyBorder="1" applyAlignment="1">
      <alignment horizontal="center"/>
    </xf>
    <xf numFmtId="37" fontId="23" fillId="36" borderId="0" xfId="0" applyNumberFormat="1" applyFont="1" applyFill="1" applyBorder="1" applyAlignment="1">
      <alignment horizontal="left"/>
    </xf>
    <xf numFmtId="37" fontId="14" fillId="36" borderId="0" xfId="0" applyNumberFormat="1" applyFont="1" applyFill="1" applyBorder="1" applyAlignment="1">
      <alignment horizontal="right"/>
    </xf>
    <xf numFmtId="0" fontId="4" fillId="0" borderId="0" xfId="0" applyFont="1" applyAlignment="1">
      <alignment horizontal="center"/>
    </xf>
    <xf numFmtId="3" fontId="6" fillId="0" borderId="0" xfId="0" applyNumberFormat="1" applyFont="1" applyBorder="1" applyAlignment="1">
      <alignment horizontal="left" wrapText="1"/>
    </xf>
    <xf numFmtId="0" fontId="6" fillId="0" borderId="0" xfId="0" applyFont="1" applyBorder="1" applyAlignment="1">
      <alignment wrapText="1"/>
    </xf>
    <xf numFmtId="0" fontId="6" fillId="0" borderId="16" xfId="0" applyFont="1" applyBorder="1" applyAlignment="1">
      <alignment wrapText="1"/>
    </xf>
    <xf numFmtId="0" fontId="9" fillId="0" borderId="0" xfId="0" applyFont="1" applyBorder="1" applyAlignment="1">
      <alignment horizontal="center"/>
    </xf>
    <xf numFmtId="37" fontId="6" fillId="0" borderId="0" xfId="0" applyNumberFormat="1" applyFont="1" applyBorder="1" applyAlignment="1">
      <alignment horizontal="left"/>
    </xf>
    <xf numFmtId="0" fontId="9" fillId="0" borderId="0" xfId="0" applyFont="1" applyFill="1" applyBorder="1" applyAlignment="1">
      <alignment horizontal="center"/>
    </xf>
    <xf numFmtId="0" fontId="0" fillId="0" borderId="0" xfId="0" applyFont="1" applyAlignment="1">
      <alignment horizontal="right"/>
    </xf>
    <xf numFmtId="0" fontId="4" fillId="0" borderId="0" xfId="0" applyNumberFormat="1" applyFont="1" applyFill="1" applyBorder="1" applyAlignment="1">
      <alignment/>
    </xf>
    <xf numFmtId="0" fontId="6" fillId="0" borderId="16" xfId="0" applyFont="1" applyBorder="1" applyAlignment="1">
      <alignment/>
    </xf>
    <xf numFmtId="0" fontId="6" fillId="0" borderId="17" xfId="0" applyNumberFormat="1" applyFont="1" applyFill="1" applyBorder="1" applyAlignment="1">
      <alignment horizontal="center"/>
    </xf>
    <xf numFmtId="0" fontId="8" fillId="0" borderId="0" xfId="0" applyNumberFormat="1" applyFont="1" applyFill="1" applyBorder="1" applyAlignment="1">
      <alignment horizontal="center"/>
    </xf>
    <xf numFmtId="0" fontId="6" fillId="0" borderId="17" xfId="0" applyFont="1" applyFill="1" applyBorder="1" applyAlignment="1">
      <alignment horizontal="center"/>
    </xf>
    <xf numFmtId="3" fontId="8" fillId="0" borderId="0" xfId="0" applyNumberFormat="1" applyFont="1" applyFill="1" applyBorder="1" applyAlignment="1">
      <alignment horizontal="center"/>
    </xf>
    <xf numFmtId="0" fontId="4" fillId="0" borderId="0" xfId="0" applyNumberFormat="1" applyFont="1" applyBorder="1" applyAlignment="1">
      <alignment horizontal="left"/>
    </xf>
    <xf numFmtId="0" fontId="6" fillId="0" borderId="16" xfId="0" applyFont="1" applyBorder="1" applyAlignment="1">
      <alignment/>
    </xf>
    <xf numFmtId="0" fontId="6" fillId="0" borderId="0" xfId="0" applyNumberFormat="1" applyFont="1" applyFill="1" applyBorder="1" applyAlignment="1">
      <alignment horizontal="right"/>
    </xf>
    <xf numFmtId="0" fontId="6" fillId="0" borderId="17" xfId="0" applyNumberFormat="1" applyFont="1" applyBorder="1" applyAlignment="1">
      <alignment horizontal="center"/>
    </xf>
    <xf numFmtId="0" fontId="8" fillId="0" borderId="0" xfId="0" applyNumberFormat="1" applyFont="1" applyBorder="1" applyAlignment="1">
      <alignment horizontal="center"/>
    </xf>
    <xf numFmtId="0" fontId="6" fillId="0" borderId="16" xfId="0" applyNumberFormat="1" applyFont="1" applyBorder="1" applyAlignment="1">
      <alignment/>
    </xf>
    <xf numFmtId="0" fontId="6" fillId="0" borderId="37" xfId="0" applyNumberFormat="1" applyFont="1" applyFill="1" applyBorder="1" applyAlignment="1">
      <alignment horizontal="center"/>
    </xf>
    <xf numFmtId="0" fontId="6" fillId="0" borderId="9" xfId="0" applyNumberFormat="1" applyFont="1" applyFill="1" applyBorder="1" applyAlignment="1">
      <alignment horizontal="right"/>
    </xf>
    <xf numFmtId="0" fontId="6" fillId="0" borderId="9" xfId="0" applyNumberFormat="1" applyFont="1" applyFill="1" applyBorder="1" applyAlignment="1">
      <alignment horizontal="left"/>
    </xf>
    <xf numFmtId="0" fontId="6" fillId="0" borderId="9" xfId="0" applyFont="1" applyFill="1" applyBorder="1" applyAlignment="1">
      <alignment/>
    </xf>
    <xf numFmtId="0" fontId="8" fillId="0" borderId="9" xfId="0" applyNumberFormat="1" applyFont="1" applyFill="1" applyBorder="1" applyAlignment="1">
      <alignment horizontal="center"/>
    </xf>
    <xf numFmtId="0" fontId="6" fillId="0" borderId="18" xfId="0" applyNumberFormat="1" applyFont="1" applyFill="1" applyBorder="1" applyAlignment="1">
      <alignment/>
    </xf>
    <xf numFmtId="0" fontId="8" fillId="0" borderId="0" xfId="0" applyFont="1" applyFill="1" applyBorder="1" applyAlignment="1">
      <alignment/>
    </xf>
    <xf numFmtId="0" fontId="6" fillId="0" borderId="16" xfId="0" applyNumberFormat="1" applyFont="1" applyFill="1" applyBorder="1" applyAlignment="1">
      <alignment horizontal="left"/>
    </xf>
    <xf numFmtId="3" fontId="6" fillId="0" borderId="16" xfId="0" applyNumberFormat="1" applyFont="1" applyFill="1" applyBorder="1" applyAlignment="1">
      <alignment horizontal="left"/>
    </xf>
    <xf numFmtId="0" fontId="6" fillId="0" borderId="16" xfId="0" applyFont="1" applyBorder="1" applyAlignment="1">
      <alignment horizontal="left"/>
    </xf>
    <xf numFmtId="3" fontId="6" fillId="0" borderId="0" xfId="0" applyNumberFormat="1" applyFont="1" applyFill="1" applyBorder="1" applyAlignment="1">
      <alignment/>
    </xf>
    <xf numFmtId="3" fontId="8" fillId="0" borderId="0" xfId="0" applyNumberFormat="1" applyFont="1" applyBorder="1" applyAlignment="1">
      <alignment horizontal="center"/>
    </xf>
    <xf numFmtId="0" fontId="6" fillId="0" borderId="9" xfId="0" applyNumberFormat="1" applyFont="1" applyBorder="1" applyAlignment="1">
      <alignment horizontal="center"/>
    </xf>
    <xf numFmtId="0" fontId="6" fillId="0" borderId="18" xfId="0" applyNumberFormat="1" applyFont="1" applyFill="1" applyBorder="1" applyAlignment="1">
      <alignment horizontal="left"/>
    </xf>
    <xf numFmtId="3" fontId="6" fillId="0" borderId="0" xfId="0" applyNumberFormat="1" applyFont="1" applyFill="1" applyBorder="1" applyAlignment="1">
      <alignment horizontal="center"/>
    </xf>
    <xf numFmtId="0" fontId="6" fillId="0" borderId="9" xfId="0" applyNumberFormat="1" applyFont="1" applyFill="1" applyBorder="1" applyAlignment="1">
      <alignment horizontal="center"/>
    </xf>
    <xf numFmtId="0" fontId="6" fillId="0" borderId="9" xfId="0" applyFont="1" applyBorder="1" applyAlignment="1">
      <alignment/>
    </xf>
    <xf numFmtId="3" fontId="6" fillId="0" borderId="17" xfId="0" applyNumberFormat="1" applyFont="1" applyFill="1" applyBorder="1" applyAlignment="1">
      <alignment horizontal="right"/>
    </xf>
    <xf numFmtId="0" fontId="6" fillId="0" borderId="16" xfId="0" applyNumberFormat="1" applyFont="1" applyFill="1" applyBorder="1" applyAlignment="1">
      <alignment horizontal="center"/>
    </xf>
    <xf numFmtId="0" fontId="6" fillId="0" borderId="0" xfId="0" applyNumberFormat="1" applyFont="1" applyFill="1" applyBorder="1" applyAlignment="1">
      <alignment/>
    </xf>
    <xf numFmtId="0" fontId="6" fillId="0" borderId="9" xfId="0" applyFont="1" applyFill="1" applyBorder="1" applyAlignment="1">
      <alignment/>
    </xf>
    <xf numFmtId="0" fontId="1" fillId="0" borderId="0" xfId="0" applyFont="1" applyBorder="1" applyAlignment="1">
      <alignment horizontal="center"/>
    </xf>
    <xf numFmtId="0" fontId="8" fillId="0" borderId="9" xfId="0" applyFont="1" applyFill="1" applyBorder="1" applyAlignment="1">
      <alignment horizontal="center"/>
    </xf>
    <xf numFmtId="3" fontId="6" fillId="0" borderId="0" xfId="0" applyNumberFormat="1" applyFont="1" applyBorder="1" applyAlignment="1">
      <alignment horizontal="center"/>
    </xf>
    <xf numFmtId="0" fontId="6" fillId="0" borderId="37" xfId="0" applyNumberFormat="1" applyFont="1" applyBorder="1" applyAlignment="1">
      <alignment horizontal="center"/>
    </xf>
    <xf numFmtId="0" fontId="6" fillId="0" borderId="9" xfId="0" applyNumberFormat="1" applyFont="1" applyBorder="1" applyAlignment="1">
      <alignment horizontal="left"/>
    </xf>
    <xf numFmtId="0" fontId="8" fillId="0" borderId="9" xfId="0" applyNumberFormat="1" applyFont="1" applyBorder="1" applyAlignment="1">
      <alignment horizontal="center"/>
    </xf>
    <xf numFmtId="168" fontId="4" fillId="0" borderId="0" xfId="0" applyNumberFormat="1" applyFont="1" applyBorder="1" applyAlignment="1">
      <alignment horizontal="left"/>
    </xf>
    <xf numFmtId="3" fontId="6" fillId="0" borderId="16" xfId="0" applyNumberFormat="1" applyFont="1" applyBorder="1" applyAlignment="1">
      <alignment/>
    </xf>
    <xf numFmtId="170" fontId="6" fillId="0" borderId="9" xfId="0" applyNumberFormat="1" applyFont="1" applyBorder="1" applyAlignment="1">
      <alignment/>
    </xf>
    <xf numFmtId="0" fontId="6" fillId="0" borderId="18" xfId="0" applyNumberFormat="1" applyFont="1" applyBorder="1" applyAlignment="1">
      <alignment horizontal="left"/>
    </xf>
    <xf numFmtId="0" fontId="8" fillId="0" borderId="9" xfId="0" applyFont="1" applyFill="1" applyBorder="1" applyAlignment="1">
      <alignment/>
    </xf>
    <xf numFmtId="164" fontId="6" fillId="0" borderId="9" xfId="0" applyNumberFormat="1" applyFont="1" applyFill="1" applyBorder="1" applyAlignment="1">
      <alignment horizontal="center"/>
    </xf>
    <xf numFmtId="168" fontId="6" fillId="0" borderId="9" xfId="78" applyNumberFormat="1" applyFont="1" applyFill="1" applyBorder="1" applyAlignment="1">
      <alignment/>
    </xf>
    <xf numFmtId="0" fontId="8" fillId="0" borderId="16" xfId="0" applyNumberFormat="1" applyFont="1" applyFill="1" applyBorder="1" applyAlignment="1">
      <alignment horizontal="center"/>
    </xf>
    <xf numFmtId="0" fontId="6" fillId="0" borderId="18" xfId="0" applyNumberFormat="1" applyFont="1" applyFill="1" applyBorder="1" applyAlignment="1">
      <alignment horizontal="center"/>
    </xf>
    <xf numFmtId="3" fontId="6" fillId="0" borderId="0" xfId="0" applyNumberFormat="1" applyFont="1" applyFill="1" applyAlignment="1">
      <alignment/>
    </xf>
    <xf numFmtId="3" fontId="6" fillId="0" borderId="16" xfId="0" applyNumberFormat="1" applyFont="1" applyFill="1" applyBorder="1" applyAlignment="1">
      <alignment horizontal="center"/>
    </xf>
    <xf numFmtId="0" fontId="6" fillId="0" borderId="0" xfId="0" applyFont="1" applyFill="1" applyBorder="1" applyAlignment="1">
      <alignment horizontal="left" wrapText="1"/>
    </xf>
    <xf numFmtId="0" fontId="6" fillId="0" borderId="16" xfId="0" applyFont="1" applyFill="1" applyBorder="1" applyAlignment="1">
      <alignment horizontal="left" wrapText="1"/>
    </xf>
    <xf numFmtId="0" fontId="9" fillId="38" borderId="20" xfId="0" applyFont="1" applyFill="1" applyBorder="1" applyAlignment="1">
      <alignment horizontal="center" wrapText="1"/>
    </xf>
    <xf numFmtId="0" fontId="4" fillId="0" borderId="0" xfId="0" applyNumberFormat="1" applyFont="1" applyBorder="1" applyAlignment="1">
      <alignment horizontal="center"/>
    </xf>
    <xf numFmtId="0" fontId="4" fillId="0" borderId="0" xfId="0" applyFont="1" applyAlignment="1">
      <alignment horizontal="center"/>
    </xf>
    <xf numFmtId="0" fontId="9" fillId="0" borderId="0" xfId="0" applyFont="1" applyFill="1" applyBorder="1" applyAlignment="1">
      <alignment horizontal="left"/>
    </xf>
    <xf numFmtId="0" fontId="9" fillId="38" borderId="19" xfId="0" applyFont="1" applyFill="1" applyBorder="1" applyAlignment="1">
      <alignment horizontal="center" wrapText="1"/>
    </xf>
    <xf numFmtId="0" fontId="6" fillId="0" borderId="17" xfId="0" applyFont="1" applyBorder="1" applyAlignment="1">
      <alignment/>
    </xf>
    <xf numFmtId="0" fontId="6" fillId="0" borderId="16" xfId="0" applyFont="1" applyFill="1" applyBorder="1" applyAlignment="1">
      <alignment horizontal="center" wrapText="1"/>
    </xf>
    <xf numFmtId="3" fontId="6" fillId="0" borderId="17" xfId="0" applyNumberFormat="1" applyFont="1" applyBorder="1" applyAlignment="1">
      <alignment horizontal="center"/>
    </xf>
    <xf numFmtId="0" fontId="6" fillId="0" borderId="17" xfId="0" applyFont="1" applyFill="1" applyBorder="1" applyAlignment="1">
      <alignment/>
    </xf>
    <xf numFmtId="3" fontId="6" fillId="0" borderId="37" xfId="0" applyNumberFormat="1" applyFont="1" applyBorder="1" applyAlignment="1">
      <alignment horizontal="center"/>
    </xf>
    <xf numFmtId="3" fontId="6" fillId="0" borderId="9" xfId="0" applyNumberFormat="1" applyFont="1" applyFill="1" applyBorder="1" applyAlignment="1">
      <alignment horizontal="center"/>
    </xf>
    <xf numFmtId="3" fontId="6" fillId="0" borderId="9" xfId="0" applyNumberFormat="1" applyFont="1" applyBorder="1" applyAlignment="1">
      <alignment horizontal="center"/>
    </xf>
    <xf numFmtId="3" fontId="4" fillId="0" borderId="0" xfId="0" applyNumberFormat="1" applyFont="1" applyFill="1" applyBorder="1" applyAlignment="1">
      <alignment horizontal="center"/>
    </xf>
    <xf numFmtId="0" fontId="6" fillId="0" borderId="37" xfId="0" applyFont="1" applyBorder="1" applyAlignment="1">
      <alignment/>
    </xf>
    <xf numFmtId="0" fontId="6" fillId="0" borderId="18" xfId="0" applyFont="1" applyBorder="1" applyAlignment="1">
      <alignment/>
    </xf>
    <xf numFmtId="0" fontId="6" fillId="0" borderId="16" xfId="0" applyFont="1" applyFill="1" applyBorder="1" applyAlignment="1">
      <alignment/>
    </xf>
    <xf numFmtId="0" fontId="6" fillId="0" borderId="9" xfId="0" applyFont="1" applyBorder="1" applyAlignment="1">
      <alignment horizontal="center"/>
    </xf>
    <xf numFmtId="0" fontId="10" fillId="0" borderId="37" xfId="0" applyFont="1" applyFill="1" applyBorder="1" applyAlignment="1">
      <alignment horizontal="left"/>
    </xf>
    <xf numFmtId="0" fontId="6" fillId="0" borderId="9" xfId="0" applyFont="1" applyFill="1" applyBorder="1" applyAlignment="1">
      <alignment horizontal="center"/>
    </xf>
    <xf numFmtId="0" fontId="6" fillId="0" borderId="9" xfId="0" applyFont="1" applyFill="1" applyBorder="1" applyAlignment="1">
      <alignment horizontal="left"/>
    </xf>
    <xf numFmtId="0" fontId="6" fillId="0" borderId="18" xfId="0" applyFont="1" applyFill="1" applyBorder="1" applyAlignment="1">
      <alignment horizontal="center"/>
    </xf>
    <xf numFmtId="168" fontId="6" fillId="0" borderId="9" xfId="78" applyNumberFormat="1" applyFont="1" applyBorder="1" applyAlignment="1">
      <alignment horizontal="center"/>
    </xf>
    <xf numFmtId="0" fontId="4" fillId="0" borderId="17" xfId="0" applyNumberFormat="1" applyFont="1" applyBorder="1" applyAlignment="1">
      <alignment horizontal="center"/>
    </xf>
    <xf numFmtId="3" fontId="4" fillId="0" borderId="0" xfId="0" applyNumberFormat="1" applyFont="1" applyBorder="1" applyAlignment="1">
      <alignment horizontal="center"/>
    </xf>
    <xf numFmtId="3" fontId="4" fillId="0" borderId="0" xfId="0" applyNumberFormat="1" applyFont="1" applyBorder="1" applyAlignment="1">
      <alignment/>
    </xf>
    <xf numFmtId="0" fontId="4" fillId="0" borderId="17" xfId="0" applyFont="1" applyBorder="1" applyAlignment="1">
      <alignment/>
    </xf>
    <xf numFmtId="0" fontId="4" fillId="0" borderId="17" xfId="0" applyFont="1" applyBorder="1" applyAlignment="1">
      <alignment horizontal="center"/>
    </xf>
    <xf numFmtId="0" fontId="4" fillId="0" borderId="0" xfId="0" applyFont="1" applyFill="1" applyBorder="1" applyAlignment="1">
      <alignment horizontal="center"/>
    </xf>
    <xf numFmtId="0" fontId="6" fillId="0" borderId="0" xfId="0" applyFont="1" applyFill="1" applyBorder="1" applyAlignment="1">
      <alignment horizontal="right"/>
    </xf>
    <xf numFmtId="0" fontId="9" fillId="0" borderId="9" xfId="0" applyFont="1" applyBorder="1" applyAlignment="1">
      <alignment/>
    </xf>
    <xf numFmtId="0" fontId="9" fillId="0" borderId="0" xfId="0" applyFont="1" applyBorder="1" applyAlignment="1">
      <alignment/>
    </xf>
    <xf numFmtId="0" fontId="4" fillId="0" borderId="17" xfId="0" applyFont="1" applyFill="1" applyBorder="1" applyAlignment="1">
      <alignment/>
    </xf>
    <xf numFmtId="0" fontId="9" fillId="0" borderId="9" xfId="0" applyFont="1" applyFill="1" applyBorder="1" applyAlignment="1">
      <alignment/>
    </xf>
    <xf numFmtId="0" fontId="6" fillId="0" borderId="18" xfId="0" applyFont="1" applyFill="1" applyBorder="1" applyAlignment="1">
      <alignment/>
    </xf>
    <xf numFmtId="0" fontId="9" fillId="0" borderId="0" xfId="0" applyNumberFormat="1" applyFont="1" applyFill="1" applyBorder="1" applyAlignment="1">
      <alignment horizontal="left"/>
    </xf>
    <xf numFmtId="0" fontId="0" fillId="0" borderId="0" xfId="0" applyFont="1" applyAlignment="1">
      <alignment horizontal="right"/>
    </xf>
    <xf numFmtId="0" fontId="11" fillId="0" borderId="0" xfId="0" applyFont="1" applyFill="1" applyAlignment="1">
      <alignment horizontal="center"/>
    </xf>
    <xf numFmtId="0" fontId="0" fillId="0" borderId="0" xfId="0" applyFont="1" applyAlignment="1">
      <alignment horizontal="center"/>
    </xf>
    <xf numFmtId="0" fontId="1" fillId="0" borderId="0" xfId="0" applyFont="1" applyFill="1" applyAlignment="1">
      <alignment horizontal="right"/>
    </xf>
    <xf numFmtId="0" fontId="0" fillId="0" borderId="0" xfId="0" applyFont="1" applyFill="1" applyAlignment="1">
      <alignment horizontal="left" wrapText="1"/>
    </xf>
    <xf numFmtId="37" fontId="0" fillId="34" borderId="0" xfId="0" applyNumberFormat="1" applyFont="1" applyFill="1" applyAlignment="1">
      <alignment horizontal="right" wrapText="1"/>
    </xf>
    <xf numFmtId="168" fontId="0" fillId="0" borderId="0" xfId="78" applyNumberFormat="1" applyFont="1" applyFill="1" applyAlignment="1">
      <alignment horizontal="center" wrapText="1"/>
    </xf>
    <xf numFmtId="0" fontId="0" fillId="0" borderId="0" xfId="0" applyFont="1" applyAlignment="1">
      <alignment horizontal="left" wrapText="1"/>
    </xf>
    <xf numFmtId="0" fontId="0" fillId="34" borderId="13" xfId="0" applyFont="1" applyFill="1" applyBorder="1" applyAlignment="1">
      <alignment horizontal="right" wrapText="1"/>
    </xf>
    <xf numFmtId="37" fontId="0" fillId="0" borderId="0" xfId="0" applyNumberFormat="1" applyFont="1" applyAlignment="1">
      <alignment horizontal="right" wrapText="1"/>
    </xf>
    <xf numFmtId="0" fontId="0" fillId="0" borderId="0" xfId="0" applyFont="1" applyAlignment="1">
      <alignment horizontal="right" wrapText="1"/>
    </xf>
    <xf numFmtId="0" fontId="1" fillId="0" borderId="0" xfId="0" applyNumberFormat="1" applyFont="1" applyFill="1" applyBorder="1" applyAlignment="1">
      <alignment horizontal="center"/>
    </xf>
    <xf numFmtId="0" fontId="0" fillId="0" borderId="0" xfId="0" applyFont="1" applyAlignment="1">
      <alignment horizontal="left" vertical="center" wrapText="1"/>
    </xf>
    <xf numFmtId="0" fontId="0" fillId="34" borderId="0" xfId="0" applyFont="1" applyFill="1" applyAlignment="1">
      <alignment horizontal="right"/>
    </xf>
    <xf numFmtId="0" fontId="0" fillId="34" borderId="13" xfId="0" applyFont="1" applyFill="1" applyBorder="1" applyAlignment="1">
      <alignment horizontal="right"/>
    </xf>
    <xf numFmtId="0" fontId="0" fillId="0" borderId="13" xfId="0" applyFont="1" applyBorder="1" applyAlignment="1">
      <alignment/>
    </xf>
    <xf numFmtId="173" fontId="0" fillId="0" borderId="0" xfId="0" applyNumberFormat="1" applyFont="1" applyFill="1" applyAlignment="1">
      <alignment horizontal="center" wrapText="1"/>
    </xf>
    <xf numFmtId="0" fontId="0" fillId="0" borderId="0" xfId="0" applyFont="1" applyFill="1" applyAlignment="1">
      <alignment horizontal="left" vertical="center" wrapText="1"/>
    </xf>
    <xf numFmtId="37" fontId="0" fillId="0" borderId="0" xfId="0" applyNumberFormat="1" applyFont="1" applyAlignment="1">
      <alignment horizontal="right"/>
    </xf>
    <xf numFmtId="37" fontId="0" fillId="0" borderId="0" xfId="0" applyNumberFormat="1" applyFont="1" applyFill="1" applyAlignment="1">
      <alignment horizontal="right" wrapText="1"/>
    </xf>
    <xf numFmtId="0" fontId="0" fillId="0" borderId="0" xfId="0" applyFont="1" applyFill="1" applyAlignment="1">
      <alignment horizontal="right"/>
    </xf>
    <xf numFmtId="0" fontId="5" fillId="0" borderId="0" xfId="0" applyFont="1" applyFill="1" applyAlignment="1">
      <alignment/>
    </xf>
    <xf numFmtId="0" fontId="0" fillId="0" borderId="0" xfId="0" applyNumberFormat="1" applyFont="1" applyFill="1" applyBorder="1" applyAlignment="1">
      <alignment horizontal="left"/>
    </xf>
    <xf numFmtId="0" fontId="0" fillId="0" borderId="0" xfId="0" applyFont="1" applyFill="1" applyAlignment="1">
      <alignment horizontal="right"/>
    </xf>
    <xf numFmtId="37" fontId="0" fillId="34" borderId="13" xfId="0" applyNumberFormat="1" applyFont="1" applyFill="1" applyBorder="1" applyAlignment="1">
      <alignment horizontal="right" wrapText="1"/>
    </xf>
    <xf numFmtId="37" fontId="0" fillId="0" borderId="0" xfId="0" applyNumberFormat="1" applyFont="1" applyFill="1" applyAlignment="1">
      <alignment horizontal="right"/>
    </xf>
    <xf numFmtId="37" fontId="1" fillId="0" borderId="0" xfId="0" applyNumberFormat="1" applyFont="1" applyFill="1" applyAlignment="1">
      <alignment/>
    </xf>
    <xf numFmtId="41" fontId="0" fillId="34" borderId="13" xfId="0" applyNumberFormat="1" applyFont="1" applyFill="1" applyBorder="1" applyAlignment="1">
      <alignment horizontal="right"/>
    </xf>
    <xf numFmtId="41" fontId="0" fillId="0" borderId="0" xfId="0" applyNumberFormat="1" applyFont="1" applyFill="1" applyBorder="1" applyAlignment="1">
      <alignment horizontal="right"/>
    </xf>
    <xf numFmtId="0" fontId="5" fillId="0" borderId="0" xfId="0" applyFont="1" applyFill="1" applyBorder="1" applyAlignment="1">
      <alignment/>
    </xf>
    <xf numFmtId="37" fontId="0" fillId="0" borderId="0" xfId="0" applyNumberFormat="1" applyFont="1" applyFill="1" applyAlignment="1">
      <alignment/>
    </xf>
    <xf numFmtId="41" fontId="0" fillId="0" borderId="0" xfId="0" applyNumberFormat="1" applyFont="1" applyFill="1" applyBorder="1" applyAlignment="1">
      <alignment horizontal="right"/>
    </xf>
    <xf numFmtId="164" fontId="0" fillId="0" borderId="0" xfId="42" applyNumberFormat="1" applyFont="1" applyFill="1" applyAlignment="1">
      <alignment horizontal="right"/>
    </xf>
    <xf numFmtId="164" fontId="0" fillId="0" borderId="0" xfId="42" applyNumberFormat="1" applyFont="1" applyFill="1" applyAlignment="1">
      <alignment horizontal="right"/>
    </xf>
    <xf numFmtId="37" fontId="0" fillId="0" borderId="0" xfId="0" applyNumberFormat="1" applyFont="1" applyFill="1" applyAlignment="1">
      <alignment horizontal="right" wrapText="1"/>
    </xf>
    <xf numFmtId="177" fontId="4" fillId="0" borderId="0" xfId="42" applyNumberFormat="1" applyFont="1" applyFill="1" applyAlignment="1">
      <alignment/>
    </xf>
    <xf numFmtId="0" fontId="33" fillId="34" borderId="32" xfId="0" applyFont="1" applyFill="1" applyBorder="1" applyAlignment="1">
      <alignment/>
    </xf>
    <xf numFmtId="37" fontId="0" fillId="34" borderId="26" xfId="0" applyNumberFormat="1" applyFill="1" applyBorder="1" applyAlignment="1">
      <alignment/>
    </xf>
    <xf numFmtId="37" fontId="0" fillId="34" borderId="32" xfId="0" applyNumberFormat="1" applyFill="1" applyBorder="1" applyAlignment="1">
      <alignment/>
    </xf>
    <xf numFmtId="38" fontId="0" fillId="34" borderId="25" xfId="0" applyNumberFormat="1" applyFill="1" applyBorder="1" applyAlignment="1">
      <alignment/>
    </xf>
    <xf numFmtId="38" fontId="0" fillId="0" borderId="25" xfId="0" applyNumberFormat="1" applyFill="1" applyBorder="1" applyAlignment="1">
      <alignment/>
    </xf>
    <xf numFmtId="38" fontId="0" fillId="0" borderId="0" xfId="0" applyNumberFormat="1" applyBorder="1" applyAlignment="1">
      <alignment/>
    </xf>
    <xf numFmtId="38" fontId="0" fillId="0" borderId="0" xfId="0" applyNumberFormat="1" applyFill="1" applyBorder="1" applyAlignment="1">
      <alignment/>
    </xf>
    <xf numFmtId="38" fontId="0" fillId="0" borderId="0" xfId="0" applyNumberFormat="1" applyFill="1" applyBorder="1" applyAlignment="1">
      <alignment horizontal="center"/>
    </xf>
    <xf numFmtId="38" fontId="0" fillId="34" borderId="25" xfId="0" applyNumberFormat="1" applyFont="1" applyFill="1" applyBorder="1" applyAlignment="1">
      <alignment/>
    </xf>
    <xf numFmtId="38" fontId="0" fillId="0" borderId="25" xfId="0" applyNumberFormat="1" applyBorder="1" applyAlignment="1">
      <alignment/>
    </xf>
    <xf numFmtId="38" fontId="0" fillId="34" borderId="25" xfId="42" applyNumberFormat="1" applyFill="1" applyBorder="1" applyAlignment="1">
      <alignment horizontal="right"/>
    </xf>
    <xf numFmtId="38" fontId="0" fillId="0" borderId="25" xfId="42" applyNumberFormat="1" applyFill="1" applyBorder="1" applyAlignment="1">
      <alignment horizontal="right"/>
    </xf>
    <xf numFmtId="0" fontId="56" fillId="34" borderId="25" xfId="71" applyFont="1" applyFill="1" applyBorder="1" applyAlignment="1">
      <alignment/>
      <protection/>
    </xf>
    <xf numFmtId="0" fontId="4" fillId="36" borderId="17" xfId="0" applyFont="1" applyFill="1" applyBorder="1" applyAlignment="1">
      <alignment horizontal="center"/>
    </xf>
    <xf numFmtId="0" fontId="4" fillId="34" borderId="17" xfId="0" applyFont="1" applyFill="1" applyBorder="1" applyAlignment="1">
      <alignment horizontal="center"/>
    </xf>
    <xf numFmtId="38" fontId="0" fillId="34" borderId="0" xfId="0" applyNumberFormat="1" applyFill="1" applyAlignment="1">
      <alignment/>
    </xf>
    <xf numFmtId="178" fontId="41" fillId="34" borderId="26" xfId="69" applyNumberFormat="1" applyFont="1" applyFill="1" applyBorder="1" applyAlignment="1" applyProtection="1">
      <alignment/>
      <protection locked="0"/>
    </xf>
    <xf numFmtId="0" fontId="6" fillId="36" borderId="0" xfId="0" applyNumberFormat="1" applyFont="1" applyFill="1" applyBorder="1" applyAlignment="1">
      <alignment horizontal="left"/>
    </xf>
    <xf numFmtId="0" fontId="6" fillId="36" borderId="0" xfId="0" applyNumberFormat="1" applyFont="1" applyFill="1" applyBorder="1" applyAlignment="1">
      <alignment horizontal="center"/>
    </xf>
    <xf numFmtId="0" fontId="6" fillId="36" borderId="16" xfId="0" applyNumberFormat="1" applyFont="1" applyFill="1" applyBorder="1" applyAlignment="1">
      <alignment horizontal="center"/>
    </xf>
    <xf numFmtId="0" fontId="6" fillId="36" borderId="9" xfId="0" applyFont="1" applyFill="1" applyBorder="1" applyAlignment="1">
      <alignment/>
    </xf>
    <xf numFmtId="0" fontId="9" fillId="36" borderId="9" xfId="0" applyFont="1" applyFill="1" applyBorder="1" applyAlignment="1">
      <alignment/>
    </xf>
    <xf numFmtId="0" fontId="6" fillId="36" borderId="18" xfId="0" applyFont="1" applyFill="1" applyBorder="1" applyAlignment="1">
      <alignment/>
    </xf>
    <xf numFmtId="173" fontId="0" fillId="0" borderId="0" xfId="78" applyNumberFormat="1" applyFont="1" applyFill="1" applyAlignment="1">
      <alignment horizontal="center" wrapText="1"/>
    </xf>
    <xf numFmtId="0" fontId="0" fillId="34" borderId="25" xfId="0" applyFill="1" applyBorder="1" applyAlignment="1" quotePrefix="1">
      <alignment horizontal="left" wrapText="1"/>
    </xf>
    <xf numFmtId="0" fontId="0" fillId="34" borderId="25" xfId="0" applyFill="1" applyBorder="1" applyAlignment="1">
      <alignment horizontal="left" wrapText="1"/>
    </xf>
    <xf numFmtId="3" fontId="4" fillId="34" borderId="0" xfId="0" applyNumberFormat="1" applyFont="1" applyFill="1" applyAlignment="1">
      <alignment/>
    </xf>
    <xf numFmtId="0" fontId="6" fillId="0" borderId="0" xfId="0" applyNumberFormat="1" applyFont="1" applyBorder="1" applyAlignment="1">
      <alignment/>
    </xf>
    <xf numFmtId="169" fontId="6" fillId="0" borderId="0" xfId="0" applyNumberFormat="1" applyFont="1" applyBorder="1" applyAlignment="1">
      <alignment horizontal="center"/>
    </xf>
    <xf numFmtId="10" fontId="6" fillId="0" borderId="0" xfId="78" applyNumberFormat="1" applyFont="1" applyBorder="1" applyAlignment="1">
      <alignment/>
    </xf>
    <xf numFmtId="0" fontId="6" fillId="0" borderId="0" xfId="0" applyNumberFormat="1" applyFont="1" applyBorder="1" applyAlignment="1">
      <alignment/>
    </xf>
    <xf numFmtId="0" fontId="8" fillId="0" borderId="0" xfId="0" applyFont="1" applyBorder="1" applyAlignment="1">
      <alignment horizontal="left"/>
    </xf>
    <xf numFmtId="0" fontId="10" fillId="0" borderId="0" xfId="0" applyFont="1" applyFill="1" applyAlignment="1">
      <alignment/>
    </xf>
    <xf numFmtId="3" fontId="6" fillId="0" borderId="11" xfId="0" applyNumberFormat="1" applyFont="1" applyBorder="1" applyAlignment="1">
      <alignment/>
    </xf>
    <xf numFmtId="0" fontId="23" fillId="0" borderId="0" xfId="0" applyFont="1" applyFill="1" applyAlignment="1">
      <alignment horizontal="left"/>
    </xf>
    <xf numFmtId="0" fontId="5" fillId="0" borderId="0" xfId="0" applyFont="1" applyAlignment="1">
      <alignment/>
    </xf>
    <xf numFmtId="0" fontId="23" fillId="0" borderId="0" xfId="0" applyFont="1" applyFill="1" applyAlignment="1">
      <alignment/>
    </xf>
    <xf numFmtId="0" fontId="23" fillId="0" borderId="0" xfId="0" applyFont="1" applyFill="1" applyAlignment="1">
      <alignment/>
    </xf>
    <xf numFmtId="164" fontId="6" fillId="34" borderId="0" xfId="42" applyNumberFormat="1" applyFont="1" applyFill="1" applyAlignment="1">
      <alignment/>
    </xf>
    <xf numFmtId="0" fontId="0" fillId="0" borderId="0" xfId="64">
      <alignment/>
      <protection/>
    </xf>
    <xf numFmtId="0" fontId="11" fillId="0" borderId="0" xfId="64" applyFont="1">
      <alignment/>
      <protection/>
    </xf>
    <xf numFmtId="0" fontId="0" fillId="0" borderId="0" xfId="64" applyAlignment="1">
      <alignment horizontal="center"/>
      <protection/>
    </xf>
    <xf numFmtId="0" fontId="48" fillId="0" borderId="0" xfId="64" applyFont="1">
      <alignment/>
      <protection/>
    </xf>
    <xf numFmtId="0" fontId="40" fillId="0" borderId="0" xfId="64" applyFont="1" applyAlignment="1">
      <alignment horizontal="center"/>
      <protection/>
    </xf>
    <xf numFmtId="0" fontId="40" fillId="0" borderId="0" xfId="64" applyFont="1">
      <alignment/>
      <protection/>
    </xf>
    <xf numFmtId="0" fontId="41" fillId="0" borderId="0" xfId="64" applyFont="1">
      <alignment/>
      <protection/>
    </xf>
    <xf numFmtId="0" fontId="42" fillId="0" borderId="0" xfId="64" applyFont="1" applyAlignment="1">
      <alignment horizontal="left"/>
      <protection/>
    </xf>
    <xf numFmtId="0" fontId="40" fillId="0" borderId="0" xfId="64" applyFont="1" applyFill="1" applyAlignment="1">
      <alignment horizontal="center"/>
      <protection/>
    </xf>
    <xf numFmtId="0" fontId="40" fillId="0" borderId="0" xfId="64" applyFont="1" applyAlignment="1">
      <alignment horizontal="left"/>
      <protection/>
    </xf>
    <xf numFmtId="16" fontId="40" fillId="0" borderId="0" xfId="64" applyNumberFormat="1" applyFont="1" applyAlignment="1">
      <alignment horizontal="center"/>
      <protection/>
    </xf>
    <xf numFmtId="0" fontId="0" fillId="0" borderId="0" xfId="64" applyAlignment="1">
      <alignment/>
      <protection/>
    </xf>
    <xf numFmtId="0" fontId="42" fillId="0" borderId="0" xfId="64" applyFont="1" applyFill="1" applyAlignment="1">
      <alignment horizontal="left"/>
      <protection/>
    </xf>
    <xf numFmtId="164" fontId="40" fillId="0" borderId="0" xfId="44" applyNumberFormat="1" applyFont="1" applyAlignment="1">
      <alignment/>
    </xf>
    <xf numFmtId="167" fontId="40" fillId="4" borderId="0" xfId="50" applyNumberFormat="1" applyFont="1" applyFill="1" applyAlignment="1">
      <alignment/>
    </xf>
    <xf numFmtId="0" fontId="49" fillId="0" borderId="0" xfId="64" applyFont="1" applyFill="1" applyAlignment="1">
      <alignment horizontal="left"/>
      <protection/>
    </xf>
    <xf numFmtId="0" fontId="40" fillId="0" borderId="0" xfId="75" applyFont="1" applyBorder="1" applyAlignment="1">
      <alignment horizontal="center"/>
      <protection/>
    </xf>
    <xf numFmtId="164" fontId="40" fillId="34" borderId="0" xfId="44" applyNumberFormat="1" applyFont="1" applyFill="1" applyAlignment="1">
      <alignment/>
    </xf>
    <xf numFmtId="164" fontId="40" fillId="0" borderId="0" xfId="64" applyNumberFormat="1" applyFont="1">
      <alignment/>
      <protection/>
    </xf>
    <xf numFmtId="164" fontId="40" fillId="0" borderId="0" xfId="44" applyNumberFormat="1" applyFont="1" applyFill="1" applyAlignment="1">
      <alignment/>
    </xf>
    <xf numFmtId="43" fontId="40" fillId="0" borderId="0" xfId="64" applyNumberFormat="1" applyFont="1">
      <alignment/>
      <protection/>
    </xf>
    <xf numFmtId="167" fontId="40" fillId="0" borderId="0" xfId="64" applyNumberFormat="1" applyFont="1">
      <alignment/>
      <protection/>
    </xf>
    <xf numFmtId="167" fontId="40" fillId="0" borderId="0" xfId="50" applyNumberFormat="1" applyFont="1" applyAlignment="1">
      <alignment/>
    </xf>
    <xf numFmtId="0" fontId="40" fillId="0" borderId="0" xfId="64" applyFont="1" applyBorder="1" applyAlignment="1">
      <alignment horizontal="center"/>
      <protection/>
    </xf>
    <xf numFmtId="0" fontId="40" fillId="0" borderId="0" xfId="64" applyFont="1" applyBorder="1">
      <alignment/>
      <protection/>
    </xf>
    <xf numFmtId="0" fontId="50" fillId="0" borderId="0" xfId="64" applyFont="1" applyBorder="1">
      <alignment/>
      <protection/>
    </xf>
    <xf numFmtId="167" fontId="40" fillId="4" borderId="0" xfId="50" applyNumberFormat="1" applyFont="1" applyFill="1" applyAlignment="1">
      <alignment horizontal="left"/>
    </xf>
    <xf numFmtId="167" fontId="40" fillId="0" borderId="0" xfId="50" applyNumberFormat="1" applyFont="1" applyFill="1" applyAlignment="1">
      <alignment horizontal="left"/>
    </xf>
    <xf numFmtId="167" fontId="40" fillId="0" borderId="0" xfId="50" applyNumberFormat="1" applyFont="1" applyAlignment="1">
      <alignment horizontal="left"/>
    </xf>
    <xf numFmtId="0" fontId="40" fillId="0" borderId="0" xfId="64" applyFont="1" applyFill="1" applyAlignment="1">
      <alignment/>
      <protection/>
    </xf>
    <xf numFmtId="0" fontId="0" fillId="0" borderId="0" xfId="64" applyFont="1" applyFill="1" applyAlignment="1">
      <alignment/>
      <protection/>
    </xf>
    <xf numFmtId="0" fontId="0" fillId="0" borderId="0" xfId="64" applyAlignment="1">
      <alignment wrapText="1"/>
      <protection/>
    </xf>
    <xf numFmtId="0" fontId="40" fillId="0" borderId="0" xfId="64" applyFont="1" applyFill="1">
      <alignment/>
      <protection/>
    </xf>
    <xf numFmtId="167" fontId="40" fillId="38" borderId="0" xfId="64" applyNumberFormat="1" applyFont="1" applyFill="1">
      <alignment/>
      <protection/>
    </xf>
    <xf numFmtId="0" fontId="40" fillId="0" borderId="0" xfId="50" applyNumberFormat="1" applyFont="1" applyFill="1" applyAlignment="1">
      <alignment horizontal="left"/>
    </xf>
    <xf numFmtId="164" fontId="49" fillId="0" borderId="0" xfId="64" applyNumberFormat="1" applyFont="1" applyFill="1">
      <alignment/>
      <protection/>
    </xf>
    <xf numFmtId="0" fontId="49" fillId="0" borderId="0" xfId="64" applyFont="1" applyFill="1">
      <alignment/>
      <protection/>
    </xf>
    <xf numFmtId="164" fontId="40" fillId="0" borderId="0" xfId="64" applyNumberFormat="1" applyFont="1" applyFill="1">
      <alignment/>
      <protection/>
    </xf>
    <xf numFmtId="164" fontId="40" fillId="0" borderId="0" xfId="64" applyNumberFormat="1" applyFont="1" applyAlignment="1">
      <alignment horizontal="left"/>
      <protection/>
    </xf>
    <xf numFmtId="0" fontId="40" fillId="0" borderId="0" xfId="64" applyNumberFormat="1" applyFont="1" applyAlignment="1">
      <alignment horizontal="left"/>
      <protection/>
    </xf>
    <xf numFmtId="173" fontId="40" fillId="34" borderId="0" xfId="79" applyNumberFormat="1" applyFont="1" applyFill="1" applyAlignment="1">
      <alignment/>
    </xf>
    <xf numFmtId="164" fontId="40" fillId="0" borderId="0" xfId="64" applyNumberFormat="1" applyFont="1" applyAlignment="1">
      <alignment horizontal="center"/>
      <protection/>
    </xf>
    <xf numFmtId="0" fontId="40" fillId="0" borderId="0" xfId="64" applyFont="1" applyFill="1" applyAlignment="1">
      <alignment horizontal="left"/>
      <protection/>
    </xf>
    <xf numFmtId="173" fontId="40" fillId="0" borderId="0" xfId="79" applyNumberFormat="1" applyFont="1" applyAlignment="1">
      <alignment/>
    </xf>
    <xf numFmtId="173" fontId="40" fillId="0" borderId="0" xfId="64" applyNumberFormat="1" applyFont="1">
      <alignment/>
      <protection/>
    </xf>
    <xf numFmtId="0" fontId="40" fillId="0" borderId="0" xfId="64" applyFont="1" applyAlignment="1">
      <alignment horizontal="center" wrapText="1"/>
      <protection/>
    </xf>
    <xf numFmtId="168" fontId="40" fillId="0" borderId="0" xfId="79" applyNumberFormat="1" applyFont="1" applyAlignment="1">
      <alignment/>
    </xf>
    <xf numFmtId="167" fontId="40" fillId="0" borderId="0" xfId="64" applyNumberFormat="1" applyFont="1" applyFill="1">
      <alignment/>
      <protection/>
    </xf>
    <xf numFmtId="0" fontId="40" fillId="0" borderId="0" xfId="64" applyFont="1" applyAlignment="1">
      <alignment/>
      <protection/>
    </xf>
    <xf numFmtId="167" fontId="40" fillId="0" borderId="0" xfId="64" applyNumberFormat="1" applyFont="1" applyAlignment="1">
      <alignment horizontal="center"/>
      <protection/>
    </xf>
    <xf numFmtId="0" fontId="24" fillId="0" borderId="0" xfId="64" applyFont="1" applyAlignment="1">
      <alignment horizontal="center"/>
      <protection/>
    </xf>
    <xf numFmtId="0" fontId="24" fillId="0" borderId="0" xfId="64" applyFont="1">
      <alignment/>
      <protection/>
    </xf>
    <xf numFmtId="0" fontId="0" fillId="0" borderId="0" xfId="64" applyFill="1" applyBorder="1" applyAlignment="1">
      <alignment horizontal="center"/>
      <protection/>
    </xf>
    <xf numFmtId="0" fontId="0" fillId="0" borderId="0" xfId="64" applyFill="1" applyBorder="1">
      <alignment/>
      <protection/>
    </xf>
    <xf numFmtId="164" fontId="40" fillId="34" borderId="0" xfId="42" applyNumberFormat="1" applyFont="1" applyFill="1" applyAlignment="1">
      <alignment horizontal="center"/>
    </xf>
    <xf numFmtId="167" fontId="40" fillId="34" borderId="0" xfId="64" applyNumberFormat="1" applyFont="1" applyFill="1">
      <alignment/>
      <protection/>
    </xf>
    <xf numFmtId="0" fontId="6" fillId="0" borderId="0" xfId="0" applyNumberFormat="1" applyFont="1" applyFill="1" applyAlignment="1">
      <alignment/>
    </xf>
    <xf numFmtId="3" fontId="6" fillId="0" borderId="0" xfId="0" applyNumberFormat="1" applyFont="1" applyFill="1" applyBorder="1" applyAlignment="1">
      <alignment horizontal="left"/>
    </xf>
    <xf numFmtId="3" fontId="6" fillId="0" borderId="13" xfId="0" applyNumberFormat="1" applyFont="1" applyFill="1" applyBorder="1" applyAlignment="1">
      <alignment horizontal="left"/>
    </xf>
    <xf numFmtId="169" fontId="6" fillId="0" borderId="13" xfId="0" applyNumberFormat="1" applyFont="1" applyBorder="1" applyAlignment="1">
      <alignment horizontal="center"/>
    </xf>
    <xf numFmtId="164" fontId="12" fillId="0" borderId="13" xfId="0" applyNumberFormat="1" applyFont="1" applyFill="1" applyBorder="1" applyAlignment="1">
      <alignment/>
    </xf>
    <xf numFmtId="0" fontId="0" fillId="0" borderId="0" xfId="0" applyFont="1" applyAlignment="1">
      <alignment/>
    </xf>
    <xf numFmtId="0" fontId="24" fillId="0" borderId="16" xfId="0" applyNumberFormat="1" applyFont="1" applyFill="1" applyBorder="1" applyAlignment="1">
      <alignment horizontal="left"/>
    </xf>
    <xf numFmtId="3" fontId="6" fillId="0" borderId="0" xfId="0" applyNumberFormat="1" applyFont="1" applyFill="1" applyBorder="1" applyAlignment="1">
      <alignment vertical="center" wrapText="1"/>
    </xf>
    <xf numFmtId="3" fontId="6" fillId="0" borderId="16" xfId="0" applyNumberFormat="1" applyFont="1" applyFill="1" applyBorder="1" applyAlignment="1">
      <alignment vertical="center" wrapText="1"/>
    </xf>
    <xf numFmtId="0" fontId="10" fillId="0" borderId="0" xfId="0" applyNumberFormat="1" applyFont="1" applyFill="1" applyBorder="1" applyAlignment="1">
      <alignment horizontal="left"/>
    </xf>
    <xf numFmtId="173" fontId="6" fillId="0" borderId="0" xfId="0" applyNumberFormat="1" applyFont="1" applyBorder="1" applyAlignment="1">
      <alignment/>
    </xf>
    <xf numFmtId="3" fontId="6" fillId="0" borderId="0" xfId="0" applyNumberFormat="1" applyFont="1" applyBorder="1" applyAlignment="1">
      <alignment/>
    </xf>
    <xf numFmtId="164" fontId="6" fillId="36" borderId="0" xfId="42" applyNumberFormat="1" applyFont="1" applyFill="1" applyBorder="1" applyAlignment="1">
      <alignment/>
    </xf>
    <xf numFmtId="164" fontId="6" fillId="0" borderId="9" xfId="42" applyNumberFormat="1" applyFont="1" applyFill="1" applyBorder="1" applyAlignment="1">
      <alignment horizontal="left"/>
    </xf>
    <xf numFmtId="0" fontId="6" fillId="0" borderId="37" xfId="0" applyFont="1" applyFill="1" applyBorder="1" applyAlignment="1">
      <alignment/>
    </xf>
    <xf numFmtId="0" fontId="10" fillId="36" borderId="0" xfId="0" applyFont="1" applyFill="1" applyAlignment="1">
      <alignment/>
    </xf>
    <xf numFmtId="164" fontId="6" fillId="36" borderId="0" xfId="42" applyNumberFormat="1" applyFont="1" applyFill="1" applyAlignment="1">
      <alignment/>
    </xf>
    <xf numFmtId="0" fontId="6" fillId="36" borderId="0" xfId="0" applyFont="1" applyFill="1" applyAlignment="1">
      <alignment/>
    </xf>
    <xf numFmtId="0" fontId="11" fillId="0" borderId="0" xfId="0" applyFont="1" applyAlignment="1">
      <alignment horizontal="right"/>
    </xf>
    <xf numFmtId="38" fontId="0" fillId="36" borderId="0" xfId="0" applyNumberFormat="1" applyFill="1" applyAlignment="1">
      <alignment/>
    </xf>
    <xf numFmtId="0" fontId="4" fillId="36" borderId="0" xfId="0" applyFont="1" applyFill="1" applyAlignment="1">
      <alignment/>
    </xf>
    <xf numFmtId="164" fontId="4" fillId="36" borderId="0" xfId="42" applyNumberFormat="1" applyFont="1" applyFill="1" applyAlignment="1">
      <alignment/>
    </xf>
    <xf numFmtId="3" fontId="6" fillId="36" borderId="0" xfId="0" applyNumberFormat="1" applyFont="1" applyFill="1" applyAlignment="1">
      <alignment/>
    </xf>
    <xf numFmtId="0" fontId="6" fillId="36" borderId="0" xfId="0" applyFont="1" applyFill="1" applyAlignment="1">
      <alignment/>
    </xf>
    <xf numFmtId="164" fontId="6" fillId="36" borderId="0" xfId="42" applyNumberFormat="1" applyFont="1" applyFill="1" applyAlignment="1">
      <alignment/>
    </xf>
    <xf numFmtId="10" fontId="6" fillId="36" borderId="0" xfId="78" applyNumberFormat="1" applyFont="1" applyFill="1" applyAlignment="1">
      <alignment horizontal="left" indent="3"/>
    </xf>
    <xf numFmtId="3" fontId="6" fillId="36" borderId="0" xfId="0" applyNumberFormat="1" applyFont="1" applyFill="1" applyAlignment="1">
      <alignment/>
    </xf>
    <xf numFmtId="0" fontId="4" fillId="36" borderId="0" xfId="0" applyFont="1" applyFill="1" applyAlignment="1">
      <alignment/>
    </xf>
    <xf numFmtId="3" fontId="10" fillId="36" borderId="0" xfId="0" applyNumberFormat="1" applyFont="1" applyFill="1" applyAlignment="1">
      <alignment/>
    </xf>
    <xf numFmtId="0" fontId="72" fillId="36" borderId="0" xfId="0" applyFont="1" applyFill="1" applyAlignment="1">
      <alignment/>
    </xf>
    <xf numFmtId="0" fontId="10" fillId="36" borderId="0" xfId="0" applyFont="1" applyFill="1" applyAlignment="1">
      <alignment/>
    </xf>
    <xf numFmtId="10" fontId="6" fillId="36" borderId="0" xfId="0" applyNumberFormat="1" applyFont="1" applyFill="1" applyAlignment="1">
      <alignment/>
    </xf>
    <xf numFmtId="164" fontId="4" fillId="36" borderId="0" xfId="42" applyNumberFormat="1" applyFont="1" applyFill="1" applyAlignment="1">
      <alignment/>
    </xf>
    <xf numFmtId="164" fontId="0" fillId="36" borderId="0" xfId="42" applyNumberFormat="1" applyFont="1" applyFill="1" applyAlignment="1">
      <alignment/>
    </xf>
    <xf numFmtId="0" fontId="6" fillId="36" borderId="0" xfId="0" applyFont="1" applyFill="1" applyBorder="1" applyAlignment="1">
      <alignment/>
    </xf>
    <xf numFmtId="10" fontId="6" fillId="36" borderId="0" xfId="78" applyNumberFormat="1" applyFont="1" applyFill="1" applyBorder="1" applyAlignment="1">
      <alignment/>
    </xf>
    <xf numFmtId="164" fontId="4" fillId="36" borderId="0" xfId="42" applyNumberFormat="1" applyFont="1" applyFill="1" applyBorder="1" applyAlignment="1">
      <alignment horizontal="right"/>
    </xf>
    <xf numFmtId="10" fontId="6" fillId="36" borderId="0" xfId="0" applyNumberFormat="1" applyFont="1" applyFill="1" applyBorder="1" applyAlignment="1">
      <alignment/>
    </xf>
    <xf numFmtId="3" fontId="14" fillId="36" borderId="0" xfId="0" applyNumberFormat="1" applyFont="1" applyFill="1" applyBorder="1" applyAlignment="1">
      <alignment/>
    </xf>
    <xf numFmtId="0" fontId="58" fillId="36" borderId="0" xfId="0" applyFont="1" applyFill="1" applyBorder="1" applyAlignment="1">
      <alignment horizontal="center"/>
    </xf>
    <xf numFmtId="10" fontId="6" fillId="36" borderId="0" xfId="78" applyNumberFormat="1" applyFont="1" applyFill="1" applyAlignment="1">
      <alignment/>
    </xf>
    <xf numFmtId="0" fontId="6" fillId="36" borderId="0" xfId="0" applyFont="1" applyFill="1" applyBorder="1" applyAlignment="1">
      <alignment horizontal="left"/>
    </xf>
    <xf numFmtId="164" fontId="4" fillId="36" borderId="0" xfId="42" applyNumberFormat="1" applyFont="1" applyFill="1" applyBorder="1" applyAlignment="1">
      <alignment/>
    </xf>
    <xf numFmtId="0" fontId="4" fillId="36" borderId="0" xfId="0" applyFont="1" applyFill="1" applyBorder="1" applyAlignment="1">
      <alignment/>
    </xf>
    <xf numFmtId="0" fontId="58" fillId="36" borderId="0" xfId="0" applyFont="1" applyFill="1" applyBorder="1" applyAlignment="1">
      <alignment/>
    </xf>
    <xf numFmtId="10" fontId="6" fillId="36" borderId="0" xfId="78" applyNumberFormat="1" applyFont="1" applyFill="1" applyBorder="1" applyAlignment="1">
      <alignment/>
    </xf>
    <xf numFmtId="0" fontId="10" fillId="36" borderId="0" xfId="0" applyFont="1" applyFill="1" applyBorder="1" applyAlignment="1">
      <alignment/>
    </xf>
    <xf numFmtId="0" fontId="23" fillId="36" borderId="0" xfId="0" applyFont="1" applyFill="1" applyBorder="1" applyAlignment="1">
      <alignment/>
    </xf>
    <xf numFmtId="0" fontId="57" fillId="36" borderId="0" xfId="0" applyFont="1" applyFill="1" applyBorder="1" applyAlignment="1">
      <alignment/>
    </xf>
    <xf numFmtId="0" fontId="23" fillId="36" borderId="0" xfId="0" applyFont="1" applyFill="1" applyAlignment="1">
      <alignment/>
    </xf>
    <xf numFmtId="0" fontId="73" fillId="36" borderId="0" xfId="0" applyFont="1" applyFill="1" applyAlignment="1">
      <alignment/>
    </xf>
    <xf numFmtId="173" fontId="6" fillId="0" borderId="0" xfId="78" applyNumberFormat="1" applyFont="1" applyAlignment="1">
      <alignment/>
    </xf>
    <xf numFmtId="173" fontId="6" fillId="0" borderId="0" xfId="78" applyNumberFormat="1" applyFont="1" applyBorder="1" applyAlignment="1">
      <alignment/>
    </xf>
    <xf numFmtId="173" fontId="6" fillId="0" borderId="0" xfId="0" applyNumberFormat="1" applyFont="1" applyFill="1" applyAlignment="1">
      <alignment horizontal="right"/>
    </xf>
    <xf numFmtId="0" fontId="23" fillId="0" borderId="0" xfId="0" applyNumberFormat="1" applyFont="1" applyFill="1" applyAlignment="1">
      <alignment/>
    </xf>
    <xf numFmtId="0" fontId="6" fillId="0" borderId="11" xfId="0" applyNumberFormat="1" applyFont="1" applyFill="1" applyBorder="1" applyAlignment="1">
      <alignment/>
    </xf>
    <xf numFmtId="3" fontId="4" fillId="34" borderId="0" xfId="0" applyNumberFormat="1" applyFont="1" applyFill="1" applyAlignment="1">
      <alignment horizontal="right"/>
    </xf>
    <xf numFmtId="164" fontId="4" fillId="34" borderId="0" xfId="42" applyNumberFormat="1" applyFont="1" applyFill="1" applyBorder="1" applyAlignment="1">
      <alignment/>
    </xf>
    <xf numFmtId="0" fontId="0" fillId="0" borderId="0" xfId="0" applyFont="1" applyFill="1" applyAlignment="1">
      <alignment vertical="top" wrapText="1"/>
    </xf>
    <xf numFmtId="0" fontId="33" fillId="0" borderId="16" xfId="0" applyFont="1" applyBorder="1" applyAlignment="1">
      <alignment horizontal="center" wrapText="1"/>
    </xf>
    <xf numFmtId="164" fontId="33" fillId="0" borderId="16" xfId="0" applyNumberFormat="1" applyFont="1" applyBorder="1" applyAlignment="1">
      <alignment/>
    </xf>
    <xf numFmtId="10" fontId="33" fillId="0" borderId="16" xfId="78" applyNumberFormat="1" applyFont="1" applyFill="1" applyBorder="1" applyAlignment="1">
      <alignment horizontal="left"/>
    </xf>
    <xf numFmtId="0" fontId="33" fillId="0" borderId="16" xfId="0" applyFont="1" applyFill="1" applyBorder="1" applyAlignment="1">
      <alignment horizontal="left" wrapText="1"/>
    </xf>
    <xf numFmtId="10" fontId="33" fillId="0" borderId="16" xfId="78" applyNumberFormat="1" applyFont="1" applyFill="1" applyBorder="1" applyAlignment="1">
      <alignment horizontal="center"/>
    </xf>
    <xf numFmtId="0" fontId="33" fillId="0" borderId="16" xfId="0" applyFont="1" applyFill="1" applyBorder="1" applyAlignment="1">
      <alignment wrapText="1"/>
    </xf>
    <xf numFmtId="164" fontId="33" fillId="0" borderId="16" xfId="0" applyNumberFormat="1" applyFont="1" applyFill="1" applyBorder="1" applyAlignment="1">
      <alignment/>
    </xf>
    <xf numFmtId="170" fontId="6" fillId="0" borderId="0" xfId="72" applyFont="1" applyFill="1" applyAlignment="1" applyProtection="1">
      <alignment/>
      <protection locked="0"/>
    </xf>
    <xf numFmtId="3" fontId="40" fillId="34" borderId="0" xfId="44" applyNumberFormat="1" applyFont="1" applyFill="1" applyAlignment="1">
      <alignment/>
    </xf>
    <xf numFmtId="3" fontId="6" fillId="0" borderId="13" xfId="0" applyNumberFormat="1" applyFont="1" applyFill="1" applyBorder="1" applyAlignment="1">
      <alignment/>
    </xf>
    <xf numFmtId="0" fontId="23" fillId="0" borderId="0" xfId="72" applyNumberFormat="1" applyFont="1" applyFill="1" applyAlignment="1" applyProtection="1">
      <alignment/>
      <protection locked="0"/>
    </xf>
    <xf numFmtId="166" fontId="6" fillId="39" borderId="0" xfId="0" applyNumberFormat="1" applyFont="1" applyFill="1" applyAlignment="1">
      <alignment/>
    </xf>
    <xf numFmtId="3" fontId="6" fillId="0" borderId="13" xfId="0" applyNumberFormat="1" applyFont="1" applyFill="1" applyBorder="1" applyAlignment="1">
      <alignment horizontal="right"/>
    </xf>
    <xf numFmtId="164" fontId="0" fillId="0" borderId="12" xfId="42" applyNumberFormat="1" applyFont="1" applyFill="1" applyBorder="1" applyAlignment="1">
      <alignment/>
    </xf>
    <xf numFmtId="3" fontId="6" fillId="34" borderId="17" xfId="0" applyNumberFormat="1" applyFont="1" applyFill="1" applyBorder="1" applyAlignment="1">
      <alignment horizontal="center"/>
    </xf>
    <xf numFmtId="3" fontId="6" fillId="34" borderId="0" xfId="0" applyNumberFormat="1" applyFont="1" applyFill="1" applyBorder="1" applyAlignment="1">
      <alignment horizontal="center"/>
    </xf>
    <xf numFmtId="0" fontId="6" fillId="34" borderId="0" xfId="0" applyFont="1" applyFill="1" applyBorder="1" applyAlignment="1">
      <alignment/>
    </xf>
    <xf numFmtId="3" fontId="6" fillId="34" borderId="13" xfId="0" applyNumberFormat="1" applyFont="1" applyFill="1" applyBorder="1" applyAlignment="1">
      <alignment horizontal="center"/>
    </xf>
    <xf numFmtId="3" fontId="6" fillId="34" borderId="17" xfId="0" applyNumberFormat="1" applyFont="1" applyFill="1" applyBorder="1" applyAlignment="1">
      <alignment horizontal="right"/>
    </xf>
    <xf numFmtId="3" fontId="6" fillId="34" borderId="0" xfId="0" applyNumberFormat="1" applyFont="1" applyFill="1" applyBorder="1" applyAlignment="1">
      <alignment horizontal="right"/>
    </xf>
    <xf numFmtId="3" fontId="6" fillId="34" borderId="0" xfId="0" applyNumberFormat="1" applyFont="1" applyFill="1" applyBorder="1" applyAlignment="1">
      <alignment/>
    </xf>
    <xf numFmtId="3" fontId="6" fillId="34" borderId="9" xfId="0" applyNumberFormat="1" applyFont="1" applyFill="1" applyBorder="1" applyAlignment="1">
      <alignment horizontal="center"/>
    </xf>
    <xf numFmtId="164" fontId="6" fillId="34" borderId="9" xfId="42" applyNumberFormat="1" applyFont="1" applyFill="1" applyBorder="1" applyAlignment="1">
      <alignment horizontal="center"/>
    </xf>
    <xf numFmtId="10" fontId="6" fillId="34" borderId="9" xfId="78" applyNumberFormat="1" applyFont="1" applyFill="1" applyBorder="1" applyAlignment="1">
      <alignment horizontal="center"/>
    </xf>
    <xf numFmtId="164" fontId="6" fillId="34" borderId="9" xfId="0" applyNumberFormat="1" applyFont="1" applyFill="1" applyBorder="1" applyAlignment="1">
      <alignment horizontal="center"/>
    </xf>
    <xf numFmtId="0" fontId="6" fillId="34" borderId="9" xfId="0" applyFont="1" applyFill="1" applyBorder="1" applyAlignment="1">
      <alignment horizontal="center"/>
    </xf>
    <xf numFmtId="38" fontId="6" fillId="34" borderId="17" xfId="0" applyNumberFormat="1" applyFont="1" applyFill="1" applyBorder="1" applyAlignment="1">
      <alignment/>
    </xf>
    <xf numFmtId="38" fontId="6" fillId="34" borderId="0" xfId="0" applyNumberFormat="1" applyFont="1" applyFill="1" applyBorder="1" applyAlignment="1">
      <alignment/>
    </xf>
    <xf numFmtId="3" fontId="6" fillId="34" borderId="0" xfId="0" applyNumberFormat="1" applyFont="1" applyFill="1" applyBorder="1" applyAlignment="1">
      <alignment/>
    </xf>
    <xf numFmtId="3" fontId="6" fillId="34" borderId="0" xfId="0" applyNumberFormat="1" applyFont="1" applyFill="1" applyAlignment="1">
      <alignment/>
    </xf>
    <xf numFmtId="3" fontId="6" fillId="34" borderId="0" xfId="0" applyNumberFormat="1" applyFont="1" applyFill="1" applyBorder="1" applyAlignment="1">
      <alignment horizontal="left"/>
    </xf>
    <xf numFmtId="164" fontId="4" fillId="34" borderId="37" xfId="44" applyNumberFormat="1" applyFont="1" applyFill="1" applyBorder="1" applyAlignment="1">
      <alignment horizontal="center"/>
    </xf>
    <xf numFmtId="177" fontId="4" fillId="34" borderId="37" xfId="42" applyNumberFormat="1" applyFont="1" applyFill="1" applyBorder="1" applyAlignment="1">
      <alignment/>
    </xf>
    <xf numFmtId="3" fontId="6" fillId="36" borderId="0" xfId="0" applyNumberFormat="1" applyFont="1" applyFill="1" applyAlignment="1">
      <alignment/>
    </xf>
    <xf numFmtId="167" fontId="40" fillId="34" borderId="0" xfId="50" applyNumberFormat="1" applyFont="1" applyFill="1" applyAlignment="1">
      <alignment/>
    </xf>
    <xf numFmtId="0" fontId="9" fillId="38" borderId="20" xfId="0" applyFont="1" applyFill="1" applyBorder="1" applyAlignment="1">
      <alignment wrapText="1"/>
    </xf>
    <xf numFmtId="0" fontId="23" fillId="0" borderId="0" xfId="0" applyNumberFormat="1" applyFont="1" applyFill="1" applyAlignment="1" quotePrefix="1">
      <alignment horizontal="left"/>
    </xf>
    <xf numFmtId="0" fontId="23" fillId="0" borderId="0" xfId="0" applyFont="1" applyFill="1" applyBorder="1" applyAlignment="1" quotePrefix="1">
      <alignment horizontal="left"/>
    </xf>
    <xf numFmtId="0" fontId="23" fillId="0" borderId="0" xfId="0" applyNumberFormat="1" applyFont="1" applyFill="1" applyAlignment="1">
      <alignment horizontal="left"/>
    </xf>
    <xf numFmtId="178" fontId="41" fillId="34" borderId="32" xfId="69" applyNumberFormat="1" applyFont="1" applyFill="1" applyBorder="1" applyAlignment="1" applyProtection="1">
      <alignment horizontal="left" indent="1"/>
      <protection locked="0"/>
    </xf>
    <xf numFmtId="0" fontId="41" fillId="34" borderId="32" xfId="69" applyFont="1" applyFill="1" applyBorder="1" applyAlignment="1" applyProtection="1">
      <alignment horizontal="left" indent="1"/>
      <protection locked="0"/>
    </xf>
    <xf numFmtId="164" fontId="4" fillId="0" borderId="0" xfId="44" applyNumberFormat="1" applyFont="1" applyFill="1" applyAlignment="1">
      <alignment/>
    </xf>
    <xf numFmtId="173" fontId="4" fillId="0" borderId="0" xfId="78" applyNumberFormat="1" applyFont="1" applyFill="1" applyAlignment="1">
      <alignment/>
    </xf>
    <xf numFmtId="0" fontId="6" fillId="0" borderId="0" xfId="0" applyFont="1" applyFill="1" applyBorder="1" applyAlignment="1">
      <alignment wrapText="1"/>
    </xf>
    <xf numFmtId="0" fontId="6" fillId="0" borderId="16" xfId="0" applyFont="1" applyFill="1" applyBorder="1" applyAlignment="1">
      <alignment wrapText="1"/>
    </xf>
    <xf numFmtId="3" fontId="6" fillId="0" borderId="0" xfId="0" applyNumberFormat="1" applyFont="1" applyFill="1" applyBorder="1" applyAlignment="1">
      <alignment wrapText="1"/>
    </xf>
    <xf numFmtId="0" fontId="6" fillId="34" borderId="13" xfId="0" applyFont="1" applyFill="1" applyBorder="1" applyAlignment="1">
      <alignment horizontal="center"/>
    </xf>
    <xf numFmtId="0" fontId="9" fillId="38" borderId="0" xfId="0" applyFont="1" applyFill="1" applyBorder="1" applyAlignment="1">
      <alignment horizontal="center" wrapText="1"/>
    </xf>
    <xf numFmtId="0" fontId="6" fillId="38" borderId="20" xfId="0" applyFont="1" applyFill="1" applyBorder="1" applyAlignment="1">
      <alignment wrapText="1"/>
    </xf>
    <xf numFmtId="0" fontId="6" fillId="38" borderId="21" xfId="0" applyFont="1" applyFill="1" applyBorder="1" applyAlignment="1">
      <alignment wrapText="1"/>
    </xf>
    <xf numFmtId="3" fontId="6" fillId="34" borderId="17" xfId="0" applyNumberFormat="1" applyFont="1" applyFill="1" applyBorder="1" applyAlignment="1">
      <alignment/>
    </xf>
    <xf numFmtId="0" fontId="9" fillId="38" borderId="17" xfId="0" applyFont="1" applyFill="1" applyBorder="1" applyAlignment="1">
      <alignment horizontal="center" wrapText="1"/>
    </xf>
    <xf numFmtId="0" fontId="9" fillId="38" borderId="0" xfId="0" applyFont="1" applyFill="1" applyBorder="1" applyAlignment="1">
      <alignment wrapText="1"/>
    </xf>
    <xf numFmtId="0" fontId="6" fillId="38" borderId="0" xfId="0" applyFont="1" applyFill="1" applyBorder="1" applyAlignment="1">
      <alignment wrapText="1"/>
    </xf>
    <xf numFmtId="0" fontId="6" fillId="38" borderId="16" xfId="0" applyFont="1" applyFill="1" applyBorder="1" applyAlignment="1">
      <alignment wrapText="1"/>
    </xf>
    <xf numFmtId="0" fontId="9" fillId="38" borderId="17" xfId="0" applyFont="1" applyFill="1" applyBorder="1" applyAlignment="1">
      <alignment horizontal="center"/>
    </xf>
    <xf numFmtId="0" fontId="9" fillId="38" borderId="0" xfId="0" applyFont="1" applyFill="1" applyBorder="1" applyAlignment="1">
      <alignment horizontal="center"/>
    </xf>
    <xf numFmtId="0" fontId="6" fillId="38" borderId="0" xfId="0" applyFont="1" applyFill="1" applyAlignment="1">
      <alignment/>
    </xf>
    <xf numFmtId="0" fontId="75" fillId="34" borderId="0" xfId="0" applyFont="1" applyFill="1" applyBorder="1" applyAlignment="1">
      <alignment horizontal="center" wrapText="1"/>
    </xf>
    <xf numFmtId="43" fontId="40" fillId="0" borderId="0" xfId="64" applyNumberFormat="1" applyFont="1" applyFill="1">
      <alignment/>
      <protection/>
    </xf>
    <xf numFmtId="43" fontId="6" fillId="0" borderId="0" xfId="42" applyFont="1" applyAlignment="1">
      <alignment/>
    </xf>
    <xf numFmtId="10" fontId="6" fillId="0" borderId="0" xfId="78" applyNumberFormat="1" applyFont="1" applyAlignment="1">
      <alignment/>
    </xf>
    <xf numFmtId="164" fontId="0" fillId="0" borderId="0" xfId="42" applyNumberFormat="1" applyFont="1" applyAlignment="1">
      <alignment/>
    </xf>
    <xf numFmtId="43" fontId="0" fillId="0" borderId="0" xfId="42" applyFont="1" applyAlignment="1">
      <alignment horizontal="center"/>
    </xf>
    <xf numFmtId="10" fontId="0" fillId="0" borderId="0" xfId="78" applyNumberFormat="1" applyFont="1" applyAlignment="1">
      <alignment horizontal="center"/>
    </xf>
    <xf numFmtId="164" fontId="0" fillId="0" borderId="0" xfId="42" applyNumberFormat="1" applyFont="1" applyAlignment="1">
      <alignment horizontal="center"/>
    </xf>
    <xf numFmtId="43" fontId="0" fillId="0" borderId="13" xfId="42" applyFont="1" applyBorder="1" applyAlignment="1">
      <alignment horizontal="center"/>
    </xf>
    <xf numFmtId="10" fontId="0" fillId="0" borderId="13" xfId="78" applyNumberFormat="1" applyFont="1" applyBorder="1" applyAlignment="1">
      <alignment horizontal="center"/>
    </xf>
    <xf numFmtId="164" fontId="0" fillId="0" borderId="13" xfId="42" applyNumberFormat="1" applyFont="1" applyBorder="1" applyAlignment="1">
      <alignment horizontal="center"/>
    </xf>
    <xf numFmtId="43" fontId="0" fillId="0" borderId="0" xfId="42" applyFont="1" applyAlignment="1">
      <alignment/>
    </xf>
    <xf numFmtId="10" fontId="0" fillId="0" borderId="0" xfId="78" applyNumberFormat="1" applyFont="1" applyAlignment="1">
      <alignment/>
    </xf>
    <xf numFmtId="43" fontId="0" fillId="0" borderId="0" xfId="42" applyFont="1" applyFill="1" applyBorder="1" applyAlignment="1">
      <alignment/>
    </xf>
    <xf numFmtId="10" fontId="0" fillId="0" borderId="0" xfId="78" applyNumberFormat="1" applyFont="1" applyFill="1" applyBorder="1" applyAlignment="1">
      <alignment/>
    </xf>
    <xf numFmtId="164" fontId="0" fillId="0" borderId="0" xfId="42" applyNumberFormat="1" applyFont="1" applyFill="1" applyAlignment="1">
      <alignment/>
    </xf>
    <xf numFmtId="37" fontId="74" fillId="0" borderId="0" xfId="73" applyNumberFormat="1" applyFill="1" applyBorder="1" applyProtection="1">
      <alignment/>
      <protection/>
    </xf>
    <xf numFmtId="178" fontId="41" fillId="34" borderId="26" xfId="69" applyNumberFormat="1" applyFont="1" applyFill="1" applyBorder="1" applyAlignment="1" applyProtection="1">
      <alignment horizontal="left" indent="1"/>
      <protection locked="0"/>
    </xf>
    <xf numFmtId="3" fontId="72" fillId="36" borderId="0" xfId="0" applyNumberFormat="1" applyFont="1" applyFill="1" applyAlignment="1">
      <alignment/>
    </xf>
    <xf numFmtId="3" fontId="75" fillId="34" borderId="38" xfId="0" applyNumberFormat="1" applyFont="1" applyFill="1" applyBorder="1" applyAlignment="1">
      <alignment/>
    </xf>
    <xf numFmtId="0" fontId="4" fillId="0" borderId="0" xfId="74" applyFont="1" applyAlignment="1">
      <alignment horizontal="center"/>
      <protection/>
    </xf>
    <xf numFmtId="0" fontId="0" fillId="0" borderId="0" xfId="74">
      <alignment/>
      <protection/>
    </xf>
    <xf numFmtId="0" fontId="9" fillId="0" borderId="0" xfId="74" applyFont="1" applyFill="1">
      <alignment/>
      <protection/>
    </xf>
    <xf numFmtId="0" fontId="6" fillId="0" borderId="0" xfId="74" applyFont="1" applyFill="1">
      <alignment/>
      <protection/>
    </xf>
    <xf numFmtId="0" fontId="6" fillId="0" borderId="0" xfId="74" applyFont="1" applyFill="1" applyAlignment="1">
      <alignment horizontal="center"/>
      <protection/>
    </xf>
    <xf numFmtId="0" fontId="68" fillId="0" borderId="0" xfId="74" applyFont="1" applyFill="1" applyAlignment="1">
      <alignment horizontal="center"/>
      <protection/>
    </xf>
    <xf numFmtId="3" fontId="0" fillId="0" borderId="0" xfId="74" applyNumberFormat="1">
      <alignment/>
      <protection/>
    </xf>
    <xf numFmtId="0" fontId="0" fillId="0" borderId="0" xfId="74" applyAlignment="1">
      <alignment horizontal="center"/>
      <protection/>
    </xf>
    <xf numFmtId="0" fontId="0" fillId="0" borderId="13" xfId="74" applyBorder="1" applyAlignment="1">
      <alignment horizontal="center"/>
      <protection/>
    </xf>
    <xf numFmtId="0" fontId="0" fillId="0" borderId="13" xfId="74" applyBorder="1">
      <alignment/>
      <protection/>
    </xf>
    <xf numFmtId="0" fontId="0" fillId="0" borderId="13" xfId="74" applyFill="1" applyBorder="1" applyAlignment="1">
      <alignment horizontal="center"/>
      <protection/>
    </xf>
    <xf numFmtId="0" fontId="1" fillId="0" borderId="0" xfId="74" applyFont="1">
      <alignment/>
      <protection/>
    </xf>
    <xf numFmtId="0" fontId="0" fillId="0" borderId="0" xfId="74" applyAlignment="1">
      <alignment horizontal="left"/>
      <protection/>
    </xf>
    <xf numFmtId="0" fontId="0" fillId="0" borderId="0" xfId="74" applyAlignment="1">
      <alignment horizontal="left" indent="1"/>
      <protection/>
    </xf>
    <xf numFmtId="0" fontId="0" fillId="0" borderId="0" xfId="74" applyFill="1" applyAlignment="1">
      <alignment horizontal="center"/>
      <protection/>
    </xf>
    <xf numFmtId="2" fontId="0" fillId="0" borderId="0" xfId="74" applyNumberFormat="1" applyFill="1" applyAlignment="1">
      <alignment horizontal="center"/>
      <protection/>
    </xf>
    <xf numFmtId="177" fontId="0" fillId="0" borderId="0" xfId="42" applyNumberFormat="1" applyFont="1" applyFill="1" applyAlignment="1">
      <alignment/>
    </xf>
    <xf numFmtId="43" fontId="0" fillId="34" borderId="0" xfId="42" applyFont="1" applyFill="1" applyBorder="1" applyAlignment="1">
      <alignment/>
    </xf>
    <xf numFmtId="172" fontId="0" fillId="34" borderId="0" xfId="42" applyNumberFormat="1" applyFont="1" applyFill="1" applyAlignment="1">
      <alignment/>
    </xf>
    <xf numFmtId="3" fontId="0" fillId="34" borderId="0" xfId="42" applyNumberFormat="1" applyFont="1" applyFill="1" applyAlignment="1">
      <alignment/>
    </xf>
    <xf numFmtId="3" fontId="0" fillId="0" borderId="0" xfId="42" applyNumberFormat="1" applyFont="1" applyFill="1" applyAlignment="1">
      <alignment/>
    </xf>
    <xf numFmtId="0" fontId="0" fillId="0" borderId="0" xfId="74" applyFill="1">
      <alignment/>
      <protection/>
    </xf>
    <xf numFmtId="3" fontId="0" fillId="0" borderId="0" xfId="74" applyNumberFormat="1" applyFont="1" applyFill="1" applyBorder="1">
      <alignment/>
      <protection/>
    </xf>
    <xf numFmtId="3" fontId="0" fillId="0" borderId="0" xfId="74" applyNumberFormat="1" applyFill="1" applyBorder="1">
      <alignment/>
      <protection/>
    </xf>
    <xf numFmtId="164" fontId="0" fillId="0" borderId="0" xfId="74" applyNumberFormat="1">
      <alignment/>
      <protection/>
    </xf>
    <xf numFmtId="37" fontId="74" fillId="0" borderId="0" xfId="73" applyNumberFormat="1" applyFont="1" applyFill="1" applyBorder="1" applyProtection="1">
      <alignment/>
      <protection/>
    </xf>
    <xf numFmtId="0" fontId="0" fillId="0" borderId="0" xfId="74" applyFont="1" applyFill="1">
      <alignment/>
      <protection/>
    </xf>
    <xf numFmtId="3" fontId="0" fillId="0" borderId="0" xfId="74" applyNumberFormat="1" applyFill="1">
      <alignment/>
      <protection/>
    </xf>
    <xf numFmtId="49" fontId="0" fillId="0" borderId="0" xfId="74" applyNumberFormat="1" applyAlignment="1">
      <alignment horizontal="left" indent="1"/>
      <protection/>
    </xf>
    <xf numFmtId="172" fontId="0" fillId="34" borderId="0" xfId="42" applyNumberFormat="1" applyFont="1" applyFill="1" applyBorder="1" applyAlignment="1">
      <alignment/>
    </xf>
    <xf numFmtId="37" fontId="0" fillId="34" borderId="0" xfId="42" applyNumberFormat="1" applyFont="1" applyFill="1" applyBorder="1" applyAlignment="1">
      <alignment/>
    </xf>
    <xf numFmtId="37" fontId="0" fillId="0" borderId="0" xfId="42" applyNumberFormat="1" applyFont="1" applyFill="1" applyAlignment="1">
      <alignment/>
    </xf>
    <xf numFmtId="37" fontId="0" fillId="34" borderId="0" xfId="42" applyNumberFormat="1" applyFont="1" applyFill="1" applyAlignment="1">
      <alignment/>
    </xf>
    <xf numFmtId="43" fontId="0" fillId="0" borderId="0" xfId="74" applyNumberFormat="1" applyFill="1">
      <alignment/>
      <protection/>
    </xf>
    <xf numFmtId="172" fontId="0" fillId="34" borderId="0" xfId="78" applyNumberFormat="1" applyFont="1" applyFill="1" applyBorder="1" applyAlignment="1">
      <alignment/>
    </xf>
    <xf numFmtId="0" fontId="0" fillId="0" borderId="0" xfId="74" applyFill="1" applyAlignment="1">
      <alignment horizontal="left"/>
      <protection/>
    </xf>
    <xf numFmtId="49" fontId="0" fillId="0" borderId="0" xfId="74" applyNumberFormat="1" applyFill="1" applyAlignment="1">
      <alignment horizontal="left" indent="1"/>
      <protection/>
    </xf>
    <xf numFmtId="172" fontId="0" fillId="0" borderId="0" xfId="78" applyNumberFormat="1" applyFont="1" applyFill="1" applyBorder="1" applyAlignment="1">
      <alignment/>
    </xf>
    <xf numFmtId="37" fontId="0" fillId="0" borderId="0" xfId="74" applyNumberFormat="1" applyFont="1" applyFill="1">
      <alignment/>
      <protection/>
    </xf>
    <xf numFmtId="3" fontId="0" fillId="0" borderId="0" xfId="74" applyNumberFormat="1" applyFont="1" applyFill="1">
      <alignment/>
      <protection/>
    </xf>
    <xf numFmtId="43" fontId="0" fillId="34" borderId="0" xfId="42" applyFont="1" applyFill="1" applyBorder="1" applyAlignment="1">
      <alignment horizontal="center"/>
    </xf>
    <xf numFmtId="43" fontId="0" fillId="34" borderId="0" xfId="78" applyNumberFormat="1" applyFont="1" applyFill="1" applyBorder="1" applyAlignment="1">
      <alignment/>
    </xf>
    <xf numFmtId="164" fontId="0" fillId="34" borderId="0" xfId="42" applyNumberFormat="1" applyFont="1" applyFill="1" applyAlignment="1">
      <alignment/>
    </xf>
    <xf numFmtId="4" fontId="0" fillId="0" borderId="0" xfId="74" applyNumberFormat="1">
      <alignment/>
      <protection/>
    </xf>
    <xf numFmtId="43" fontId="0" fillId="34" borderId="0" xfId="78" applyNumberFormat="1" applyFont="1" applyFill="1" applyAlignment="1">
      <alignment/>
    </xf>
    <xf numFmtId="164" fontId="0" fillId="34" borderId="0" xfId="42" applyNumberFormat="1" applyFont="1" applyFill="1" applyAlignment="1">
      <alignment horizontal="center"/>
    </xf>
    <xf numFmtId="43" fontId="0" fillId="0" borderId="0" xfId="74" applyNumberFormat="1">
      <alignment/>
      <protection/>
    </xf>
    <xf numFmtId="0" fontId="0" fillId="0" borderId="0" xfId="74" applyFont="1" applyAlignment="1">
      <alignment/>
      <protection/>
    </xf>
    <xf numFmtId="0" fontId="0" fillId="0" borderId="0" xfId="74" applyAlignment="1">
      <alignment/>
      <protection/>
    </xf>
    <xf numFmtId="49" fontId="0" fillId="0" borderId="0" xfId="74" applyNumberFormat="1" applyFont="1" applyAlignment="1">
      <alignment/>
      <protection/>
    </xf>
    <xf numFmtId="172" fontId="0" fillId="0" borderId="0" xfId="42" applyNumberFormat="1" applyFont="1" applyFill="1" applyBorder="1" applyAlignment="1">
      <alignment/>
    </xf>
    <xf numFmtId="37" fontId="0" fillId="34" borderId="0" xfId="74" applyNumberFormat="1" applyFill="1">
      <alignment/>
      <protection/>
    </xf>
    <xf numFmtId="0" fontId="0" fillId="0" borderId="0" xfId="74" applyFont="1">
      <alignment/>
      <protection/>
    </xf>
    <xf numFmtId="0" fontId="1" fillId="0" borderId="0" xfId="74" applyFont="1" applyAlignment="1">
      <alignment/>
      <protection/>
    </xf>
    <xf numFmtId="0" fontId="0" fillId="34" borderId="25" xfId="0" applyFont="1" applyFill="1" applyBorder="1" applyAlignment="1">
      <alignment wrapText="1"/>
    </xf>
    <xf numFmtId="164" fontId="0" fillId="0" borderId="0" xfId="0" applyNumberFormat="1" applyFont="1" applyAlignment="1">
      <alignment/>
    </xf>
    <xf numFmtId="164" fontId="33" fillId="34" borderId="17" xfId="0" applyNumberFormat="1" applyFont="1" applyFill="1" applyBorder="1" applyAlignment="1">
      <alignment/>
    </xf>
    <xf numFmtId="0" fontId="0" fillId="34" borderId="26" xfId="0" applyFont="1" applyFill="1" applyBorder="1" applyAlignment="1">
      <alignment horizontal="left"/>
    </xf>
    <xf numFmtId="178" fontId="41" fillId="34" borderId="39" xfId="69" applyNumberFormat="1" applyFont="1" applyFill="1" applyBorder="1" applyAlignment="1" applyProtection="1">
      <alignment horizontal="left" indent="1"/>
      <protection locked="0"/>
    </xf>
    <xf numFmtId="178" fontId="41" fillId="34" borderId="30" xfId="69" applyNumberFormat="1" applyFont="1" applyFill="1" applyBorder="1" applyAlignment="1" applyProtection="1">
      <alignment horizontal="left" indent="1"/>
      <protection locked="0"/>
    </xf>
    <xf numFmtId="178" fontId="41" fillId="34" borderId="27" xfId="69" applyNumberFormat="1" applyFont="1" applyFill="1" applyBorder="1" applyAlignment="1" applyProtection="1">
      <alignment horizontal="center"/>
      <protection locked="0"/>
    </xf>
    <xf numFmtId="37" fontId="0" fillId="0" borderId="0" xfId="74" applyNumberFormat="1">
      <alignment/>
      <protection/>
    </xf>
    <xf numFmtId="0" fontId="0" fillId="0" borderId="0" xfId="64" applyFont="1" applyAlignment="1">
      <alignment horizontal="center"/>
      <protection/>
    </xf>
    <xf numFmtId="0" fontId="0" fillId="34" borderId="26" xfId="0" applyFill="1" applyBorder="1" applyAlignment="1">
      <alignment/>
    </xf>
    <xf numFmtId="0" fontId="33" fillId="0" borderId="24" xfId="0" applyFont="1" applyFill="1" applyBorder="1" applyAlignment="1">
      <alignment/>
    </xf>
    <xf numFmtId="0" fontId="4" fillId="34" borderId="40" xfId="0" applyFont="1" applyFill="1" applyBorder="1" applyAlignment="1">
      <alignment horizontal="center" wrapText="1"/>
    </xf>
    <xf numFmtId="178" fontId="41" fillId="34" borderId="11" xfId="69" applyNumberFormat="1" applyFont="1" applyFill="1" applyBorder="1" applyAlignment="1" applyProtection="1">
      <alignment horizontal="left" indent="1"/>
      <protection locked="0"/>
    </xf>
    <xf numFmtId="178" fontId="41" fillId="34" borderId="28" xfId="69" applyNumberFormat="1" applyFont="1" applyFill="1" applyBorder="1" applyAlignment="1" applyProtection="1">
      <alignment horizontal="left" indent="1"/>
      <protection locked="0"/>
    </xf>
    <xf numFmtId="3" fontId="0" fillId="0" borderId="0" xfId="74" applyNumberFormat="1" applyAlignment="1">
      <alignment horizontal="center"/>
      <protection/>
    </xf>
    <xf numFmtId="172" fontId="0" fillId="0" borderId="0" xfId="78" applyNumberFormat="1" applyFont="1" applyAlignment="1">
      <alignment/>
    </xf>
    <xf numFmtId="164" fontId="33" fillId="0" borderId="0" xfId="47" applyNumberFormat="1" applyFont="1" applyBorder="1" applyAlignment="1">
      <alignment/>
    </xf>
    <xf numFmtId="164" fontId="33" fillId="0" borderId="16" xfId="47" applyNumberFormat="1" applyFont="1" applyBorder="1" applyAlignment="1">
      <alignment/>
    </xf>
    <xf numFmtId="49" fontId="0" fillId="0" borderId="0" xfId="74" applyNumberFormat="1" applyFont="1" applyFill="1" applyAlignment="1">
      <alignment horizontal="left" indent="1"/>
      <protection/>
    </xf>
    <xf numFmtId="0" fontId="0" fillId="34" borderId="25" xfId="70" applyFont="1" applyFill="1" applyBorder="1" applyAlignment="1" quotePrefix="1">
      <alignment horizontal="left" wrapText="1"/>
      <protection/>
    </xf>
    <xf numFmtId="38" fontId="0" fillId="0" borderId="0" xfId="74" applyNumberFormat="1">
      <alignment/>
      <protection/>
    </xf>
    <xf numFmtId="4" fontId="0" fillId="0" borderId="0" xfId="74" applyNumberFormat="1" applyFill="1" applyAlignment="1">
      <alignment horizontal="center"/>
      <protection/>
    </xf>
    <xf numFmtId="176" fontId="0" fillId="0" borderId="0" xfId="74" applyNumberFormat="1" applyFill="1" applyAlignment="1">
      <alignment horizontal="center"/>
      <protection/>
    </xf>
    <xf numFmtId="3" fontId="0" fillId="0" borderId="0" xfId="74" applyNumberFormat="1" applyFill="1" applyAlignment="1">
      <alignment horizontal="center"/>
      <protection/>
    </xf>
    <xf numFmtId="41" fontId="0" fillId="0" borderId="0" xfId="0" applyNumberFormat="1" applyFont="1" applyFill="1" applyAlignment="1">
      <alignment horizontal="right"/>
    </xf>
    <xf numFmtId="0" fontId="6" fillId="40" borderId="0" xfId="0" applyFont="1" applyFill="1" applyAlignment="1">
      <alignment/>
    </xf>
    <xf numFmtId="164" fontId="33" fillId="0" borderId="0" xfId="0" applyNumberFormat="1" applyFont="1" applyFill="1" applyBorder="1" applyAlignment="1">
      <alignment/>
    </xf>
    <xf numFmtId="164" fontId="33" fillId="0" borderId="17" xfId="0" applyNumberFormat="1" applyFont="1" applyFill="1" applyBorder="1" applyAlignment="1">
      <alignment/>
    </xf>
    <xf numFmtId="0" fontId="14" fillId="0" borderId="0" xfId="0" applyFont="1" applyAlignment="1">
      <alignment horizontal="center"/>
    </xf>
    <xf numFmtId="0" fontId="10" fillId="36" borderId="0" xfId="0" applyFont="1" applyFill="1" applyAlignment="1">
      <alignment horizontal="left"/>
    </xf>
    <xf numFmtId="0" fontId="55" fillId="0" borderId="9" xfId="0" applyFont="1" applyFill="1" applyBorder="1" applyAlignment="1">
      <alignment horizontal="center"/>
    </xf>
    <xf numFmtId="0" fontId="23" fillId="35" borderId="20" xfId="0" applyFont="1" applyFill="1" applyBorder="1" applyAlignment="1">
      <alignment horizontal="center"/>
    </xf>
    <xf numFmtId="0" fontId="23" fillId="35" borderId="21" xfId="0" applyFont="1" applyFill="1" applyBorder="1" applyAlignment="1">
      <alignment horizontal="center"/>
    </xf>
    <xf numFmtId="37" fontId="0" fillId="34" borderId="32" xfId="0" applyNumberFormat="1" applyFill="1" applyBorder="1" applyAlignment="1">
      <alignment horizontal="center"/>
    </xf>
    <xf numFmtId="37" fontId="0" fillId="34" borderId="26" xfId="0" applyNumberFormat="1" applyFill="1" applyBorder="1" applyAlignment="1">
      <alignment horizontal="center"/>
    </xf>
    <xf numFmtId="0" fontId="56" fillId="34" borderId="32" xfId="71" applyFont="1" applyFill="1" applyBorder="1" applyAlignment="1">
      <alignment horizontal="left"/>
      <protection/>
    </xf>
    <xf numFmtId="0" fontId="56" fillId="34" borderId="39" xfId="71" applyFont="1" applyFill="1" applyBorder="1" applyAlignment="1">
      <alignment horizontal="left"/>
      <protection/>
    </xf>
    <xf numFmtId="0" fontId="32" fillId="0" borderId="35" xfId="0" applyFont="1" applyBorder="1" applyAlignment="1">
      <alignment horizontal="left" wrapText="1"/>
    </xf>
    <xf numFmtId="0" fontId="32" fillId="0" borderId="13" xfId="0" applyFont="1" applyBorder="1" applyAlignment="1">
      <alignment horizontal="left" wrapText="1"/>
    </xf>
    <xf numFmtId="0" fontId="32" fillId="0" borderId="30" xfId="0" applyFont="1" applyBorder="1" applyAlignment="1">
      <alignment horizontal="left" wrapText="1"/>
    </xf>
    <xf numFmtId="0" fontId="32" fillId="0" borderId="29" xfId="0" applyFont="1" applyFill="1" applyBorder="1" applyAlignment="1">
      <alignment horizontal="left" wrapText="1"/>
    </xf>
    <xf numFmtId="0" fontId="32" fillId="0" borderId="0" xfId="0" applyFont="1" applyFill="1" applyBorder="1" applyAlignment="1">
      <alignment horizontal="left" wrapText="1"/>
    </xf>
    <xf numFmtId="0" fontId="32" fillId="0" borderId="27" xfId="0" applyFont="1" applyFill="1" applyBorder="1" applyAlignment="1">
      <alignment horizontal="left" wrapText="1"/>
    </xf>
    <xf numFmtId="0" fontId="0" fillId="34" borderId="32" xfId="0" applyFont="1" applyFill="1" applyBorder="1" applyAlignment="1">
      <alignment horizontal="center"/>
    </xf>
    <xf numFmtId="0" fontId="0" fillId="34" borderId="26" xfId="0" applyFont="1" applyFill="1" applyBorder="1" applyAlignment="1">
      <alignment horizontal="center"/>
    </xf>
    <xf numFmtId="0" fontId="1" fillId="0" borderId="0" xfId="0" applyFont="1" applyFill="1" applyBorder="1" applyAlignment="1">
      <alignment horizontal="center"/>
    </xf>
    <xf numFmtId="0" fontId="30" fillId="0" borderId="0" xfId="0" applyFont="1" applyBorder="1" applyAlignment="1">
      <alignment horizontal="center"/>
    </xf>
    <xf numFmtId="0" fontId="32" fillId="0" borderId="29" xfId="0" applyFont="1" applyFill="1" applyBorder="1" applyAlignment="1">
      <alignment vertical="top" wrapText="1"/>
    </xf>
    <xf numFmtId="0" fontId="32" fillId="0" borderId="0" xfId="0" applyFont="1" applyFill="1" applyBorder="1" applyAlignment="1">
      <alignment vertical="top" wrapText="1"/>
    </xf>
    <xf numFmtId="0" fontId="32" fillId="0" borderId="27" xfId="0" applyFont="1" applyFill="1" applyBorder="1" applyAlignment="1">
      <alignment vertical="top" wrapText="1"/>
    </xf>
    <xf numFmtId="0" fontId="0" fillId="34" borderId="32" xfId="0" applyFont="1" applyFill="1" applyBorder="1" applyAlignment="1">
      <alignment horizontal="left"/>
    </xf>
    <xf numFmtId="0" fontId="0" fillId="34" borderId="26" xfId="0" applyFont="1" applyFill="1" applyBorder="1" applyAlignment="1">
      <alignment horizontal="left"/>
    </xf>
    <xf numFmtId="178" fontId="41" fillId="34" borderId="29" xfId="69" applyNumberFormat="1" applyFont="1" applyFill="1" applyBorder="1" applyAlignment="1" applyProtection="1">
      <alignment horizontal="center"/>
      <protection locked="0"/>
    </xf>
    <xf numFmtId="178" fontId="41" fillId="34" borderId="27" xfId="69" applyNumberFormat="1" applyFont="1" applyFill="1" applyBorder="1" applyAlignment="1" applyProtection="1">
      <alignment horizontal="center"/>
      <protection locked="0"/>
    </xf>
    <xf numFmtId="178" fontId="41" fillId="34" borderId="29" xfId="69" applyNumberFormat="1" applyFont="1" applyFill="1" applyBorder="1" applyAlignment="1" applyProtection="1">
      <alignment horizontal="center"/>
      <protection locked="0"/>
    </xf>
    <xf numFmtId="178" fontId="41" fillId="34" borderId="27" xfId="69" applyNumberFormat="1" applyFont="1" applyFill="1" applyBorder="1" applyAlignment="1" applyProtection="1">
      <alignment horizontal="center"/>
      <protection locked="0"/>
    </xf>
    <xf numFmtId="0" fontId="23" fillId="0" borderId="0" xfId="0" applyFont="1" applyAlignment="1">
      <alignment/>
    </xf>
    <xf numFmtId="0" fontId="0" fillId="0" borderId="0" xfId="0" applyAlignment="1">
      <alignment/>
    </xf>
    <xf numFmtId="0" fontId="14" fillId="0" borderId="0" xfId="0" applyFont="1" applyBorder="1" applyAlignment="1">
      <alignment horizontal="center"/>
    </xf>
    <xf numFmtId="0" fontId="1" fillId="34" borderId="32" xfId="0" applyFont="1" applyFill="1" applyBorder="1" applyAlignment="1">
      <alignment horizontal="left"/>
    </xf>
    <xf numFmtId="0" fontId="1" fillId="34" borderId="26" xfId="0" applyFont="1" applyFill="1" applyBorder="1" applyAlignment="1">
      <alignment horizontal="left"/>
    </xf>
    <xf numFmtId="0" fontId="0" fillId="0" borderId="0" xfId="0" applyFont="1" applyAlignment="1">
      <alignment/>
    </xf>
    <xf numFmtId="0" fontId="4" fillId="0" borderId="0" xfId="0" applyFont="1" applyAlignment="1">
      <alignment horizontal="center"/>
    </xf>
    <xf numFmtId="0" fontId="6" fillId="0" borderId="0" xfId="0" applyFont="1" applyAlignment="1">
      <alignment horizontal="center"/>
    </xf>
    <xf numFmtId="0" fontId="0" fillId="0" borderId="0" xfId="0" applyFont="1" applyAlignment="1">
      <alignment/>
    </xf>
    <xf numFmtId="0" fontId="23" fillId="0" borderId="0" xfId="0" applyFont="1" applyAlignment="1">
      <alignment horizontal="center"/>
    </xf>
    <xf numFmtId="0" fontId="0" fillId="0" borderId="0" xfId="0" applyFont="1" applyFill="1" applyAlignment="1">
      <alignment horizontal="left" wrapText="1"/>
    </xf>
    <xf numFmtId="0" fontId="0" fillId="0" borderId="0" xfId="0" applyFill="1" applyAlignment="1">
      <alignment horizontal="left" wrapText="1"/>
    </xf>
    <xf numFmtId="0" fontId="9" fillId="38" borderId="19" xfId="0" applyFont="1" applyFill="1" applyBorder="1" applyAlignment="1">
      <alignment horizontal="center"/>
    </xf>
    <xf numFmtId="0" fontId="9" fillId="38" borderId="20" xfId="0" applyFont="1" applyFill="1" applyBorder="1" applyAlignment="1">
      <alignment horizontal="center"/>
    </xf>
    <xf numFmtId="0" fontId="9" fillId="38" borderId="21" xfId="0" applyFont="1" applyFill="1" applyBorder="1" applyAlignment="1">
      <alignment horizontal="center"/>
    </xf>
    <xf numFmtId="0" fontId="6" fillId="0" borderId="0" xfId="0" applyFont="1" applyBorder="1" applyAlignment="1">
      <alignment wrapText="1"/>
    </xf>
    <xf numFmtId="0" fontId="6" fillId="0" borderId="16" xfId="0" applyFont="1" applyBorder="1" applyAlignment="1">
      <alignment wrapText="1"/>
    </xf>
    <xf numFmtId="0" fontId="9" fillId="38" borderId="20" xfId="0" applyFont="1" applyFill="1" applyBorder="1" applyAlignment="1">
      <alignment horizontal="center" wrapText="1"/>
    </xf>
    <xf numFmtId="0" fontId="6" fillId="0" borderId="20" xfId="0" applyFont="1" applyBorder="1" applyAlignment="1">
      <alignment horizontal="center" wrapText="1"/>
    </xf>
    <xf numFmtId="0" fontId="6" fillId="0" borderId="21" xfId="0" applyFont="1" applyBorder="1" applyAlignment="1">
      <alignment horizontal="center" wrapText="1"/>
    </xf>
    <xf numFmtId="0" fontId="4" fillId="0" borderId="0" xfId="0" applyFont="1" applyFill="1" applyBorder="1" applyAlignment="1">
      <alignment horizontal="center" wrapText="1"/>
    </xf>
    <xf numFmtId="0" fontId="6" fillId="0" borderId="0" xfId="0" applyFont="1" applyFill="1" applyBorder="1" applyAlignment="1">
      <alignment horizontal="center" wrapText="1"/>
    </xf>
    <xf numFmtId="0" fontId="6" fillId="0" borderId="16" xfId="0" applyFont="1" applyFill="1" applyBorder="1" applyAlignment="1">
      <alignment horizontal="center" wrapText="1"/>
    </xf>
    <xf numFmtId="0" fontId="6" fillId="0" borderId="9" xfId="0" applyFont="1" applyFill="1" applyBorder="1" applyAlignment="1">
      <alignment horizontal="left" wrapText="1"/>
    </xf>
    <xf numFmtId="0" fontId="6" fillId="0" borderId="18" xfId="0" applyFont="1" applyFill="1" applyBorder="1" applyAlignment="1">
      <alignment horizontal="left" wrapText="1"/>
    </xf>
    <xf numFmtId="164" fontId="6" fillId="0" borderId="9" xfId="42" applyNumberFormat="1" applyFont="1" applyFill="1" applyBorder="1" applyAlignment="1">
      <alignment horizontal="center" wrapText="1"/>
    </xf>
    <xf numFmtId="164" fontId="6" fillId="0" borderId="18" xfId="42" applyNumberFormat="1" applyFont="1" applyFill="1" applyBorder="1" applyAlignment="1">
      <alignment horizontal="center" wrapText="1"/>
    </xf>
    <xf numFmtId="164" fontId="6" fillId="0" borderId="9" xfId="0" applyNumberFormat="1" applyFont="1" applyFill="1" applyBorder="1" applyAlignment="1">
      <alignment horizontal="center" wrapText="1"/>
    </xf>
    <xf numFmtId="0" fontId="6" fillId="0" borderId="9" xfId="0" applyFont="1" applyFill="1" applyBorder="1" applyAlignment="1">
      <alignment horizontal="center" wrapText="1"/>
    </xf>
    <xf numFmtId="0" fontId="6" fillId="0" borderId="18" xfId="0" applyFont="1" applyFill="1" applyBorder="1" applyAlignment="1">
      <alignment horizontal="center" wrapText="1"/>
    </xf>
    <xf numFmtId="0" fontId="10" fillId="38" borderId="20" xfId="0" applyFont="1" applyFill="1" applyBorder="1" applyAlignment="1">
      <alignment horizontal="center" wrapText="1"/>
    </xf>
    <xf numFmtId="0" fontId="10" fillId="38" borderId="21" xfId="0" applyFont="1" applyFill="1" applyBorder="1" applyAlignment="1">
      <alignment horizontal="center" wrapText="1"/>
    </xf>
    <xf numFmtId="0" fontId="6" fillId="0" borderId="0" xfId="0" applyFont="1" applyFill="1" applyBorder="1" applyAlignment="1">
      <alignment horizontal="left" wrapText="1"/>
    </xf>
    <xf numFmtId="0" fontId="6" fillId="0" borderId="16" xfId="0" applyFont="1" applyFill="1" applyBorder="1" applyAlignment="1">
      <alignment horizontal="left" wrapText="1"/>
    </xf>
    <xf numFmtId="0" fontId="9" fillId="38" borderId="21" xfId="0" applyFont="1" applyFill="1" applyBorder="1" applyAlignment="1">
      <alignment horizontal="center" wrapText="1"/>
    </xf>
    <xf numFmtId="0" fontId="6" fillId="0" borderId="0" xfId="0" applyFont="1" applyAlignment="1">
      <alignment horizontal="center" wrapText="1"/>
    </xf>
    <xf numFmtId="0" fontId="6" fillId="0" borderId="16" xfId="0" applyFont="1" applyBorder="1" applyAlignment="1">
      <alignment horizontal="center" wrapText="1"/>
    </xf>
    <xf numFmtId="0" fontId="6" fillId="0" borderId="9" xfId="0" applyFont="1" applyBorder="1" applyAlignment="1">
      <alignment horizontal="center" wrapText="1"/>
    </xf>
    <xf numFmtId="0" fontId="6" fillId="0" borderId="18" xfId="0" applyFont="1" applyBorder="1" applyAlignment="1">
      <alignment horizontal="center" wrapText="1"/>
    </xf>
    <xf numFmtId="0" fontId="4" fillId="0" borderId="17" xfId="0" applyFont="1" applyFill="1" applyBorder="1" applyAlignment="1">
      <alignment horizontal="center" wrapText="1"/>
    </xf>
    <xf numFmtId="0" fontId="9" fillId="38" borderId="19" xfId="0" applyFont="1" applyFill="1" applyBorder="1" applyAlignment="1">
      <alignment horizontal="center" wrapText="1"/>
    </xf>
    <xf numFmtId="0" fontId="4" fillId="0" borderId="9" xfId="0" applyFont="1" applyFill="1" applyBorder="1" applyAlignment="1">
      <alignment horizontal="center" wrapText="1"/>
    </xf>
    <xf numFmtId="0" fontId="4" fillId="36" borderId="0" xfId="0" applyNumberFormat="1" applyFont="1" applyFill="1" applyBorder="1" applyAlignment="1">
      <alignment horizontal="center"/>
    </xf>
    <xf numFmtId="0" fontId="4" fillId="36" borderId="16" xfId="0" applyNumberFormat="1" applyFont="1" applyFill="1" applyBorder="1" applyAlignment="1">
      <alignment horizontal="center"/>
    </xf>
    <xf numFmtId="0" fontId="6" fillId="0" borderId="0" xfId="0" applyNumberFormat="1" applyFont="1" applyFill="1" applyBorder="1" applyAlignment="1">
      <alignment horizontal="left"/>
    </xf>
    <xf numFmtId="0" fontId="6" fillId="0" borderId="16" xfId="0" applyNumberFormat="1" applyFont="1" applyFill="1" applyBorder="1" applyAlignment="1">
      <alignment horizontal="left"/>
    </xf>
    <xf numFmtId="0" fontId="9" fillId="38" borderId="17" xfId="0" applyFont="1" applyFill="1" applyBorder="1" applyAlignment="1">
      <alignment horizontal="center"/>
    </xf>
    <xf numFmtId="0" fontId="9" fillId="38" borderId="0" xfId="0" applyFont="1" applyFill="1" applyBorder="1" applyAlignment="1">
      <alignment horizontal="center"/>
    </xf>
    <xf numFmtId="0" fontId="9" fillId="38" borderId="16" xfId="0" applyFont="1" applyFill="1" applyBorder="1" applyAlignment="1">
      <alignment horizontal="center"/>
    </xf>
    <xf numFmtId="0" fontId="4" fillId="0" borderId="9" xfId="0" applyFont="1" applyFill="1" applyBorder="1" applyAlignment="1">
      <alignment horizontal="center" wrapText="1"/>
    </xf>
    <xf numFmtId="0" fontId="14" fillId="0" borderId="0" xfId="64" applyFont="1" applyAlignment="1">
      <alignment horizontal="center"/>
      <protection/>
    </xf>
    <xf numFmtId="0" fontId="14" fillId="0" borderId="0" xfId="64" applyFont="1" applyAlignment="1">
      <alignment/>
      <protection/>
    </xf>
    <xf numFmtId="0" fontId="70" fillId="0" borderId="0" xfId="64" applyFont="1" applyAlignment="1">
      <alignment horizontal="center"/>
      <protection/>
    </xf>
    <xf numFmtId="0" fontId="71" fillId="0" borderId="0" xfId="64" applyFont="1" applyAlignment="1">
      <alignment/>
      <protection/>
    </xf>
    <xf numFmtId="0" fontId="40" fillId="0" borderId="0" xfId="64" applyNumberFormat="1" applyFont="1" applyAlignment="1">
      <alignment horizontal="left"/>
      <protection/>
    </xf>
    <xf numFmtId="0" fontId="36" fillId="0" borderId="15" xfId="0" applyFont="1" applyBorder="1" applyAlignment="1">
      <alignment horizontal="center"/>
    </xf>
    <xf numFmtId="0" fontId="36" fillId="0" borderId="14" xfId="0" applyFont="1" applyBorder="1" applyAlignment="1">
      <alignment horizontal="center"/>
    </xf>
    <xf numFmtId="0" fontId="36" fillId="0" borderId="41" xfId="0" applyFont="1" applyBorder="1" applyAlignment="1">
      <alignment horizontal="center"/>
    </xf>
    <xf numFmtId="0" fontId="0" fillId="0" borderId="14" xfId="0" applyBorder="1" applyAlignment="1">
      <alignment horizontal="center"/>
    </xf>
    <xf numFmtId="0" fontId="0" fillId="0" borderId="41" xfId="0" applyBorder="1" applyAlignment="1">
      <alignment horizontal="center"/>
    </xf>
    <xf numFmtId="0" fontId="4" fillId="0" borderId="0" xfId="74" applyFont="1" applyAlignment="1">
      <alignment horizontal="center"/>
      <protection/>
    </xf>
  </cellXfs>
  <cellStyles count="7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Currency 4"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Input" xfId="61"/>
    <cellStyle name="Linked Cell" xfId="62"/>
    <cellStyle name="Neutral" xfId="63"/>
    <cellStyle name="Normal 2" xfId="64"/>
    <cellStyle name="Normal 3" xfId="65"/>
    <cellStyle name="Normal 4" xfId="66"/>
    <cellStyle name="Normal 5" xfId="67"/>
    <cellStyle name="Normal_1995 FCWS" xfId="68"/>
    <cellStyle name="Normal_2002 Sch M Adds and Deducts 8-14-03" xfId="69"/>
    <cellStyle name="Normal_ADIT and Taxes Other than Income - 8-2011" xfId="70"/>
    <cellStyle name="Normal_AR workpaper --2002 Def Tax Exp by Account 8-14-02" xfId="71"/>
    <cellStyle name="Normal_FN1 Ratebase Draft SPP template (6-11-04) v2" xfId="72"/>
    <cellStyle name="Normal_Net Neg Salvg 2007" xfId="73"/>
    <cellStyle name="Normal_Red Line and Clean Copy 5-5-2010 populated attachment 9 and supplement (2)" xfId="74"/>
    <cellStyle name="Normal_TrAILCo attach 6 &amp; 7 and Appendix A" xfId="75"/>
    <cellStyle name="Note" xfId="76"/>
    <cellStyle name="Output" xfId="77"/>
    <cellStyle name="Percent" xfId="78"/>
    <cellStyle name="Percent 2" xfId="79"/>
    <cellStyle name="Percent 3" xfId="80"/>
    <cellStyle name="Percent 4" xfId="81"/>
    <cellStyle name="PSChar" xfId="82"/>
    <cellStyle name="PSDate" xfId="83"/>
    <cellStyle name="PSDec" xfId="84"/>
    <cellStyle name="PSHeading" xfId="85"/>
    <cellStyle name="PSInt" xfId="86"/>
    <cellStyle name="PSSpacer" xfId="87"/>
    <cellStyle name="Title" xfId="88"/>
    <cellStyle name="Total" xfId="89"/>
    <cellStyle name="Warning Text" xfId="9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cfs3.prestongates.com\clients\1-Projects\1-%20Active%20Projects\Allegheny\2008%20FINAL%20TrAILCo2007%20true%20up%20Rev%20Req.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TT 1-ADIT"/>
      <sheetName val="ATT 2 - Other Taxes"/>
      <sheetName val="3 - Revenue Credits"/>
      <sheetName val="4 - Incentive ROE Adj"/>
      <sheetName val="Sheet1"/>
      <sheetName val="5 - Cost Support"/>
      <sheetName val="5a- Precommercial Costs"/>
      <sheetName val="6- Est &amp; Reconcile WS"/>
      <sheetName val="7 - Cap Add WS"/>
      <sheetName val="Attachment 8, page 1"/>
      <sheetName val="Attachment 8, page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rgb="FF92D050"/>
    <pageSetUpPr fitToPage="1"/>
  </sheetPr>
  <dimension ref="A1:IV2928"/>
  <sheetViews>
    <sheetView showGridLines="0" tabSelected="1" zoomScale="67" zoomScaleNormal="67" zoomScaleSheetLayoutView="50" workbookViewId="0" topLeftCell="A1">
      <selection activeCell="A1" sqref="A1"/>
    </sheetView>
  </sheetViews>
  <sheetFormatPr defaultColWidth="9.140625" defaultRowHeight="12.75"/>
  <cols>
    <col min="1" max="1" width="7.421875" style="67" customWidth="1"/>
    <col min="2" max="2" width="3.421875" style="32" customWidth="1"/>
    <col min="3" max="3" width="53.140625" style="32" customWidth="1"/>
    <col min="4" max="4" width="44.28125" style="32" customWidth="1"/>
    <col min="5" max="5" width="24.7109375" style="92" customWidth="1"/>
    <col min="6" max="6" width="53.421875" style="50" customWidth="1"/>
    <col min="7" max="7" width="2.7109375" style="50" customWidth="1"/>
    <col min="8" max="8" width="21.28125" style="50" customWidth="1"/>
    <col min="9" max="9" width="4.140625" style="55" customWidth="1"/>
    <col min="10" max="10" width="27.8515625" style="50" customWidth="1"/>
    <col min="11" max="11" width="23.28125" style="148" bestFit="1" customWidth="1"/>
    <col min="12" max="12" width="10.140625" style="50" bestFit="1" customWidth="1"/>
    <col min="13" max="256" width="9.140625" style="50" customWidth="1"/>
    <col min="257" max="16384" width="9.140625" style="50" customWidth="1"/>
  </cols>
  <sheetData>
    <row r="1" spans="1:14" ht="21" customHeight="1">
      <c r="A1" s="235"/>
      <c r="B1" s="1079" t="s">
        <v>651</v>
      </c>
      <c r="C1" s="1079"/>
      <c r="D1" s="1079"/>
      <c r="E1" s="1079"/>
      <c r="F1" s="1079"/>
      <c r="G1" s="1079"/>
      <c r="H1" s="1079"/>
      <c r="I1" s="1079"/>
      <c r="J1" s="877"/>
      <c r="K1" s="876"/>
      <c r="L1" s="877"/>
      <c r="M1" s="877"/>
      <c r="N1" s="877"/>
    </row>
    <row r="2" spans="2:14" ht="25.5" customHeight="1" thickBot="1">
      <c r="B2" s="54"/>
      <c r="C2" s="615"/>
      <c r="D2" s="1081"/>
      <c r="E2" s="1081"/>
      <c r="F2" s="1081"/>
      <c r="G2" s="55"/>
      <c r="H2" s="55"/>
      <c r="J2" s="877"/>
      <c r="K2" s="876"/>
      <c r="L2" s="877"/>
      <c r="M2" s="877"/>
      <c r="N2" s="877"/>
    </row>
    <row r="3" spans="1:14" ht="27.75" customHeight="1" thickBot="1">
      <c r="A3" s="321" t="s">
        <v>189</v>
      </c>
      <c r="B3" s="316"/>
      <c r="C3" s="316"/>
      <c r="D3" s="1082"/>
      <c r="E3" s="1082"/>
      <c r="F3" s="1083"/>
      <c r="J3" s="877"/>
      <c r="K3" s="876"/>
      <c r="L3" s="877"/>
      <c r="M3" s="877"/>
      <c r="N3" s="877"/>
    </row>
    <row r="4" spans="1:14" s="73" customFormat="1" ht="42" customHeight="1" thickBot="1">
      <c r="A4" s="512" t="s">
        <v>622</v>
      </c>
      <c r="B4" s="317"/>
      <c r="C4" s="318"/>
      <c r="D4" s="318"/>
      <c r="E4" s="319" t="s">
        <v>512</v>
      </c>
      <c r="F4" s="320" t="s">
        <v>65</v>
      </c>
      <c r="G4" s="315"/>
      <c r="H4" s="1062" t="s">
        <v>837</v>
      </c>
      <c r="I4" s="247"/>
      <c r="J4" s="880"/>
      <c r="K4" s="881"/>
      <c r="L4" s="880"/>
      <c r="M4" s="880"/>
      <c r="N4" s="880"/>
    </row>
    <row r="5" spans="1:14" s="247" customFormat="1" ht="23.25" customHeight="1">
      <c r="A5" s="242" t="s">
        <v>261</v>
      </c>
      <c r="B5" s="243"/>
      <c r="C5" s="244"/>
      <c r="D5" s="244"/>
      <c r="E5" s="166"/>
      <c r="F5" s="245"/>
      <c r="G5" s="138"/>
      <c r="H5" s="246"/>
      <c r="J5" s="880"/>
      <c r="K5" s="881"/>
      <c r="L5" s="880"/>
      <c r="M5" s="880"/>
      <c r="N5" s="880"/>
    </row>
    <row r="6" spans="1:14" s="55" customFormat="1" ht="15.75">
      <c r="A6" s="91" t="s">
        <v>388</v>
      </c>
      <c r="B6" s="90"/>
      <c r="C6" s="115"/>
      <c r="D6" s="115"/>
      <c r="E6" s="167"/>
      <c r="F6" s="116"/>
      <c r="G6" s="116"/>
      <c r="H6" s="126"/>
      <c r="J6" s="877"/>
      <c r="K6" s="876"/>
      <c r="L6" s="877"/>
      <c r="M6" s="877"/>
      <c r="N6" s="877"/>
    </row>
    <row r="7" spans="1:14" s="55" customFormat="1" ht="15.75">
      <c r="A7" s="99"/>
      <c r="B7" s="80"/>
      <c r="C7" s="80"/>
      <c r="D7" s="80"/>
      <c r="E7" s="166"/>
      <c r="F7" s="105"/>
      <c r="G7" s="105"/>
      <c r="H7" s="114"/>
      <c r="J7" s="877"/>
      <c r="K7" s="876"/>
      <c r="L7" s="877"/>
      <c r="M7" s="877"/>
      <c r="N7" s="877"/>
    </row>
    <row r="8" spans="1:14" ht="15.75">
      <c r="A8" s="45"/>
      <c r="B8" s="24" t="s">
        <v>394</v>
      </c>
      <c r="E8" s="20"/>
      <c r="F8" s="11"/>
      <c r="G8" s="5"/>
      <c r="H8" s="5"/>
      <c r="J8" s="877"/>
      <c r="K8" s="876"/>
      <c r="L8" s="877"/>
      <c r="M8" s="877"/>
      <c r="N8" s="877"/>
    </row>
    <row r="9" spans="1:14" ht="15">
      <c r="A9" s="31">
        <v>1</v>
      </c>
      <c r="B9" s="31"/>
      <c r="C9" s="61" t="s">
        <v>361</v>
      </c>
      <c r="D9" s="202"/>
      <c r="E9" s="94"/>
      <c r="F9" s="11" t="s">
        <v>606</v>
      </c>
      <c r="G9" s="32"/>
      <c r="H9" s="554">
        <v>7925346</v>
      </c>
      <c r="J9" s="877"/>
      <c r="K9" s="876"/>
      <c r="L9" s="877"/>
      <c r="M9" s="877"/>
      <c r="N9" s="877"/>
    </row>
    <row r="10" spans="1:14" ht="15">
      <c r="A10" s="92"/>
      <c r="C10" s="10"/>
      <c r="D10" s="10"/>
      <c r="F10" s="55"/>
      <c r="J10" s="877"/>
      <c r="K10" s="876"/>
      <c r="L10" s="877"/>
      <c r="M10" s="877"/>
      <c r="N10" s="877"/>
    </row>
    <row r="11" spans="1:14" ht="15">
      <c r="A11" s="31">
        <f>+A9+1</f>
        <v>2</v>
      </c>
      <c r="B11" s="31"/>
      <c r="C11" s="61" t="s">
        <v>362</v>
      </c>
      <c r="D11" s="61"/>
      <c r="E11" s="168"/>
      <c r="F11" s="61" t="s">
        <v>607</v>
      </c>
      <c r="G11" s="32"/>
      <c r="H11" s="555">
        <v>83730101</v>
      </c>
      <c r="I11" s="94"/>
      <c r="J11" s="877"/>
      <c r="K11" s="876"/>
      <c r="L11" s="877"/>
      <c r="M11" s="877"/>
      <c r="N11" s="877"/>
    </row>
    <row r="12" spans="1:14" ht="15">
      <c r="A12" s="31">
        <f>+A11+1</f>
        <v>3</v>
      </c>
      <c r="B12" s="31"/>
      <c r="C12" s="61" t="s">
        <v>392</v>
      </c>
      <c r="D12" s="61"/>
      <c r="F12" s="61" t="s">
        <v>608</v>
      </c>
      <c r="G12" s="32"/>
      <c r="H12" s="555">
        <v>3822028</v>
      </c>
      <c r="I12" s="94"/>
      <c r="J12" s="877"/>
      <c r="K12" s="876"/>
      <c r="L12" s="877"/>
      <c r="M12" s="877"/>
      <c r="N12" s="877"/>
    </row>
    <row r="13" spans="1:14" ht="15">
      <c r="A13" s="31">
        <f>+A12+1</f>
        <v>4</v>
      </c>
      <c r="B13" s="31"/>
      <c r="C13" s="47" t="s">
        <v>590</v>
      </c>
      <c r="D13" s="34"/>
      <c r="E13" s="169"/>
      <c r="F13" s="59" t="str">
        <f>"(Line "&amp;A11&amp;" - Line "&amp;A12&amp;")"</f>
        <v>(Line 2 - Line 3)</v>
      </c>
      <c r="G13" s="60"/>
      <c r="H13" s="34">
        <f>H11-H12</f>
        <v>79908073</v>
      </c>
      <c r="J13" s="877"/>
      <c r="K13" s="876"/>
      <c r="L13" s="877"/>
      <c r="M13" s="877"/>
      <c r="N13" s="877"/>
    </row>
    <row r="14" spans="1:14" ht="15">
      <c r="A14" s="31"/>
      <c r="B14" s="31"/>
      <c r="C14" s="3"/>
      <c r="D14" s="10"/>
      <c r="E14" s="20"/>
      <c r="F14" s="54"/>
      <c r="G14" s="32"/>
      <c r="H14" s="5"/>
      <c r="I14" s="94"/>
      <c r="J14" s="877"/>
      <c r="K14" s="876"/>
      <c r="L14" s="877"/>
      <c r="M14" s="877"/>
      <c r="N14" s="877"/>
    </row>
    <row r="15" spans="1:14" ht="16.5" thickBot="1">
      <c r="A15" s="31">
        <v>5</v>
      </c>
      <c r="B15" s="40" t="s">
        <v>463</v>
      </c>
      <c r="C15" s="40"/>
      <c r="D15" s="117"/>
      <c r="E15" s="170"/>
      <c r="F15" s="459" t="str">
        <f>"(Line "&amp;A9&amp;" / Line "&amp;A13&amp;")"</f>
        <v>(Line 1 / Line 4)</v>
      </c>
      <c r="G15" s="118"/>
      <c r="H15" s="107">
        <f>H9/H13</f>
        <v>0.09918079240879704</v>
      </c>
      <c r="J15" s="877"/>
      <c r="K15" s="876"/>
      <c r="L15" s="877"/>
      <c r="M15" s="877"/>
      <c r="N15" s="877"/>
    </row>
    <row r="16" spans="1:14" ht="16.5" thickTop="1">
      <c r="A16" s="31"/>
      <c r="B16" s="31"/>
      <c r="C16" s="24"/>
      <c r="D16" s="54"/>
      <c r="E16" s="28"/>
      <c r="F16" s="54"/>
      <c r="G16" s="32"/>
      <c r="H16" s="38"/>
      <c r="J16" s="877"/>
      <c r="K16" s="876"/>
      <c r="L16" s="877"/>
      <c r="M16" s="877"/>
      <c r="N16" s="877"/>
    </row>
    <row r="17" spans="1:14" ht="15.75">
      <c r="A17" s="92"/>
      <c r="B17" s="24" t="s">
        <v>474</v>
      </c>
      <c r="D17" s="50"/>
      <c r="F17" s="55"/>
      <c r="J17" s="877"/>
      <c r="K17" s="876"/>
      <c r="L17" s="877"/>
      <c r="M17" s="877"/>
      <c r="N17" s="877"/>
    </row>
    <row r="18" spans="1:14" ht="15">
      <c r="A18" s="77">
        <f>+A15+1</f>
        <v>6</v>
      </c>
      <c r="B18" s="50"/>
      <c r="C18" s="61" t="s">
        <v>482</v>
      </c>
      <c r="E18" s="197"/>
      <c r="F18" s="61" t="s">
        <v>609</v>
      </c>
      <c r="H18" s="555">
        <v>9028666144</v>
      </c>
      <c r="J18" s="875"/>
      <c r="K18" s="876"/>
      <c r="L18" s="877"/>
      <c r="M18" s="877"/>
      <c r="N18" s="877"/>
    </row>
    <row r="19" spans="1:14" ht="15">
      <c r="A19" s="94"/>
      <c r="B19" s="50"/>
      <c r="C19" s="61"/>
      <c r="E19" s="172"/>
      <c r="F19" s="61"/>
      <c r="H19" s="11"/>
      <c r="J19" s="877"/>
      <c r="K19" s="876"/>
      <c r="L19" s="877"/>
      <c r="M19" s="877"/>
      <c r="N19" s="877"/>
    </row>
    <row r="20" spans="1:14" ht="15">
      <c r="A20" s="77">
        <f>A18+1</f>
        <v>7</v>
      </c>
      <c r="B20" s="50"/>
      <c r="C20" s="61" t="s">
        <v>359</v>
      </c>
      <c r="E20" s="628" t="str">
        <f>"(Note "&amp;B$273&amp;")"</f>
        <v>(Note J)</v>
      </c>
      <c r="F20" s="61" t="s">
        <v>610</v>
      </c>
      <c r="H20" s="555">
        <v>2488676268</v>
      </c>
      <c r="J20" s="877"/>
      <c r="K20" s="876"/>
      <c r="L20" s="877"/>
      <c r="M20" s="877"/>
      <c r="N20" s="877"/>
    </row>
    <row r="21" spans="1:14" ht="15">
      <c r="A21" s="77">
        <f>+A20+1</f>
        <v>8</v>
      </c>
      <c r="B21" s="50"/>
      <c r="C21" s="61" t="s">
        <v>296</v>
      </c>
      <c r="E21" s="197" t="str">
        <f>"(Note "&amp;B$257&amp;")"</f>
        <v>(Note A)</v>
      </c>
      <c r="F21" s="11" t="s">
        <v>403</v>
      </c>
      <c r="H21" s="555">
        <v>55700651</v>
      </c>
      <c r="J21" s="877"/>
      <c r="K21" s="876"/>
      <c r="L21" s="877"/>
      <c r="M21" s="877"/>
      <c r="N21" s="877"/>
    </row>
    <row r="22" spans="1:14" ht="15">
      <c r="A22" s="77">
        <f>A21+1</f>
        <v>9</v>
      </c>
      <c r="C22" s="48" t="s">
        <v>393</v>
      </c>
      <c r="D22" s="60"/>
      <c r="E22" s="174"/>
      <c r="F22" s="59" t="str">
        <f>"(Line "&amp;A20&amp;" + "&amp;A21&amp;")"</f>
        <v>(Line 7 + 8)</v>
      </c>
      <c r="G22" s="57"/>
      <c r="H22" s="59">
        <f>SUM(H20:H21)</f>
        <v>2544376919</v>
      </c>
      <c r="J22" s="877"/>
      <c r="K22" s="876"/>
      <c r="L22" s="877"/>
      <c r="M22" s="877"/>
      <c r="N22" s="877"/>
    </row>
    <row r="23" spans="1:14" ht="17.25" customHeight="1">
      <c r="A23" s="92"/>
      <c r="C23" s="36"/>
      <c r="F23" s="11"/>
      <c r="H23" s="88"/>
      <c r="J23" s="877"/>
      <c r="K23" s="876"/>
      <c r="L23" s="877"/>
      <c r="M23" s="877"/>
      <c r="N23" s="877"/>
    </row>
    <row r="24" spans="1:14" ht="15">
      <c r="A24" s="31">
        <f>+A22+1</f>
        <v>10</v>
      </c>
      <c r="B24" s="50"/>
      <c r="C24" s="57" t="s">
        <v>468</v>
      </c>
      <c r="D24" s="57"/>
      <c r="E24" s="174"/>
      <c r="F24" s="59" t="str">
        <f>"(Line "&amp;A18&amp;" - Line "&amp;A22&amp;")"</f>
        <v>(Line 6 - Line 9)</v>
      </c>
      <c r="G24" s="57"/>
      <c r="H24" s="34">
        <f>H18-H22</f>
        <v>6484289225</v>
      </c>
      <c r="J24" s="877"/>
      <c r="K24" s="876"/>
      <c r="L24" s="877"/>
      <c r="M24" s="877"/>
      <c r="N24" s="877"/>
    </row>
    <row r="25" spans="1:14" ht="15">
      <c r="A25" s="92"/>
      <c r="B25" s="50"/>
      <c r="C25" s="50"/>
      <c r="D25" s="50"/>
      <c r="F25" s="55"/>
      <c r="J25" s="877"/>
      <c r="K25" s="882"/>
      <c r="L25" s="877"/>
      <c r="M25" s="877"/>
      <c r="N25" s="877"/>
    </row>
    <row r="26" spans="1:14" ht="15">
      <c r="A26" s="77">
        <f>+A24+1</f>
        <v>11</v>
      </c>
      <c r="B26" s="50"/>
      <c r="C26" s="50" t="s">
        <v>158</v>
      </c>
      <c r="D26" s="50"/>
      <c r="F26" s="111" t="str">
        <f>"(Line "&amp;A48&amp;" - Line "&amp;A46&amp;")"</f>
        <v>(Line 25 - Line 24)</v>
      </c>
      <c r="H26" s="88">
        <f>H48-H46</f>
        <v>3560965833.86516</v>
      </c>
      <c r="J26" s="875"/>
      <c r="K26" s="876"/>
      <c r="L26" s="877"/>
      <c r="M26" s="877"/>
      <c r="N26" s="877"/>
    </row>
    <row r="27" spans="1:14" ht="16.5" thickBot="1">
      <c r="A27" s="31">
        <f>+A26+1</f>
        <v>12</v>
      </c>
      <c r="B27" s="43" t="s">
        <v>349</v>
      </c>
      <c r="C27" s="43"/>
      <c r="D27" s="108"/>
      <c r="E27" s="175"/>
      <c r="F27" s="459" t="str">
        <f>"(Line "&amp;A26&amp;" / Line "&amp;A18&amp;")"</f>
        <v>(Line 11 / Line 6)</v>
      </c>
      <c r="G27" s="108"/>
      <c r="H27" s="107">
        <f>H26/H18</f>
        <v>0.39440663516300245</v>
      </c>
      <c r="J27" s="877"/>
      <c r="K27" s="876"/>
      <c r="L27" s="877"/>
      <c r="M27" s="877"/>
      <c r="N27" s="877"/>
    </row>
    <row r="28" spans="1:14" ht="15.75" thickTop="1">
      <c r="A28" s="92"/>
      <c r="F28" s="55"/>
      <c r="J28" s="877"/>
      <c r="K28" s="876"/>
      <c r="L28" s="877"/>
      <c r="M28" s="877"/>
      <c r="N28" s="877"/>
    </row>
    <row r="29" spans="1:14" s="35" customFormat="1" ht="15">
      <c r="A29" s="77">
        <f>+A27+1</f>
        <v>13</v>
      </c>
      <c r="B29" s="6"/>
      <c r="C29" s="860" t="s">
        <v>159</v>
      </c>
      <c r="D29" s="27"/>
      <c r="E29" s="28"/>
      <c r="F29" s="111" t="str">
        <f>"(Line "&amp;A62&amp;" - Line "&amp;A46&amp;")"</f>
        <v>(Line 33 - Line 24)</v>
      </c>
      <c r="G29" s="10"/>
      <c r="H29" s="7">
        <f>H62-H46</f>
        <v>3008214574.0876584</v>
      </c>
      <c r="I29" s="325"/>
      <c r="J29" s="883"/>
      <c r="K29" s="884"/>
      <c r="L29" s="883"/>
      <c r="M29" s="883"/>
      <c r="N29" s="883"/>
    </row>
    <row r="30" spans="1:14" ht="16.5" thickBot="1">
      <c r="A30" s="31">
        <f>+A29+1</f>
        <v>14</v>
      </c>
      <c r="B30" s="43" t="s">
        <v>469</v>
      </c>
      <c r="C30" s="43"/>
      <c r="D30" s="108"/>
      <c r="E30" s="175"/>
      <c r="F30" s="459" t="str">
        <f>"(Line "&amp;A29&amp;" / Line "&amp;A24&amp;")"</f>
        <v>(Line 13 / Line 10)</v>
      </c>
      <c r="G30" s="108"/>
      <c r="H30" s="107">
        <f>H29/H24</f>
        <v>0.4639235650515972</v>
      </c>
      <c r="J30" s="877"/>
      <c r="K30" s="876"/>
      <c r="L30" s="877"/>
      <c r="M30" s="877"/>
      <c r="N30" s="877"/>
    </row>
    <row r="31" spans="1:14" ht="16.5" thickTop="1">
      <c r="A31" s="51"/>
      <c r="B31" s="31"/>
      <c r="C31" s="24"/>
      <c r="D31" s="54"/>
      <c r="E31" s="28"/>
      <c r="F31" s="32"/>
      <c r="G31" s="32"/>
      <c r="H31" s="38"/>
      <c r="J31" s="877"/>
      <c r="K31" s="876"/>
      <c r="L31" s="877"/>
      <c r="M31" s="877"/>
      <c r="N31" s="877"/>
    </row>
    <row r="32" spans="1:14" s="55" customFormat="1" ht="15.75">
      <c r="A32" s="91" t="s">
        <v>467</v>
      </c>
      <c r="B32" s="90"/>
      <c r="C32" s="115"/>
      <c r="D32" s="115"/>
      <c r="E32" s="167"/>
      <c r="F32" s="116"/>
      <c r="G32" s="116"/>
      <c r="H32" s="126"/>
      <c r="J32" s="877"/>
      <c r="K32" s="876"/>
      <c r="L32" s="877"/>
      <c r="M32" s="877"/>
      <c r="N32" s="877"/>
    </row>
    <row r="33" spans="1:14" s="55" customFormat="1" ht="15.75">
      <c r="A33" s="119"/>
      <c r="B33" s="120"/>
      <c r="C33" s="80"/>
      <c r="D33" s="80"/>
      <c r="E33" s="166"/>
      <c r="F33" s="105"/>
      <c r="G33" s="105"/>
      <c r="H33" s="114"/>
      <c r="J33" s="877"/>
      <c r="K33" s="876"/>
      <c r="L33" s="877"/>
      <c r="M33" s="877"/>
      <c r="N33" s="877"/>
    </row>
    <row r="34" spans="1:14" ht="15.75">
      <c r="A34" s="93"/>
      <c r="B34" s="24" t="s">
        <v>396</v>
      </c>
      <c r="E34" s="28"/>
      <c r="F34" s="11"/>
      <c r="G34" s="45"/>
      <c r="H34" s="5"/>
      <c r="J34" s="877"/>
      <c r="K34" s="876"/>
      <c r="L34" s="877"/>
      <c r="M34" s="877"/>
      <c r="N34" s="877"/>
    </row>
    <row r="35" spans="1:14" ht="15">
      <c r="A35" s="29">
        <f>+A30+1</f>
        <v>15</v>
      </c>
      <c r="B35" s="77"/>
      <c r="C35" s="26" t="s">
        <v>466</v>
      </c>
      <c r="D35" s="54"/>
      <c r="E35" s="197" t="str">
        <f>"(Note "&amp;B$258&amp;")"</f>
        <v>(Note B)</v>
      </c>
      <c r="F35" s="11" t="s">
        <v>372</v>
      </c>
      <c r="G35" s="32"/>
      <c r="H35" s="555">
        <v>3299986459</v>
      </c>
      <c r="J35" s="877"/>
      <c r="K35" s="876"/>
      <c r="L35" s="877"/>
      <c r="M35" s="877"/>
      <c r="N35" s="877"/>
    </row>
    <row r="36" spans="1:14" ht="15">
      <c r="A36" s="29">
        <f>A35+1</f>
        <v>16</v>
      </c>
      <c r="B36" s="77"/>
      <c r="C36" s="26" t="s">
        <v>182</v>
      </c>
      <c r="D36" s="54"/>
      <c r="E36" s="28" t="s">
        <v>305</v>
      </c>
      <c r="F36" s="272" t="s">
        <v>265</v>
      </c>
      <c r="G36" s="32"/>
      <c r="H36" s="11"/>
      <c r="I36" s="325"/>
      <c r="J36" s="883"/>
      <c r="K36" s="876"/>
      <c r="L36" s="877"/>
      <c r="M36" s="877"/>
      <c r="N36" s="877"/>
    </row>
    <row r="37" spans="1:14" ht="15">
      <c r="A37" s="29">
        <f>+A36+1</f>
        <v>17</v>
      </c>
      <c r="B37" s="77"/>
      <c r="C37" s="156" t="s">
        <v>223</v>
      </c>
      <c r="D37" s="196"/>
      <c r="E37" s="200" t="str">
        <f>"(Note "&amp;B$258&amp;")"</f>
        <v>(Note B)</v>
      </c>
      <c r="F37" s="460" t="s">
        <v>265</v>
      </c>
      <c r="G37" s="101"/>
      <c r="H37" s="111">
        <f>'6- Est &amp; Reconcile WS'!X163</f>
        <v>184146558.57666665</v>
      </c>
      <c r="J37" s="883"/>
      <c r="K37" s="876"/>
      <c r="L37" s="877"/>
      <c r="M37" s="877"/>
      <c r="N37" s="877"/>
    </row>
    <row r="38" spans="1:14" ht="15.75">
      <c r="A38" s="29">
        <f>+A37+1</f>
        <v>18</v>
      </c>
      <c r="B38" s="77"/>
      <c r="C38" s="24" t="s">
        <v>595</v>
      </c>
      <c r="D38" s="54"/>
      <c r="E38" s="197"/>
      <c r="F38" s="42" t="str">
        <f>"(Line "&amp;A35&amp;" - Line "&amp;A36&amp;" + Line "&amp;A37&amp;")"</f>
        <v>(Line 15 - Line 16 + Line 17)</v>
      </c>
      <c r="G38" s="32"/>
      <c r="H38" s="462">
        <f>H35-H36+H37</f>
        <v>3484133017.576667</v>
      </c>
      <c r="I38" s="325"/>
      <c r="J38" s="883"/>
      <c r="K38" s="885"/>
      <c r="L38" s="877"/>
      <c r="M38" s="877"/>
      <c r="N38" s="877"/>
    </row>
    <row r="39" spans="1:14" s="55" customFormat="1" ht="15">
      <c r="A39" s="29"/>
      <c r="B39" s="77"/>
      <c r="C39" s="26"/>
      <c r="D39" s="54"/>
      <c r="E39" s="94"/>
      <c r="F39" s="11"/>
      <c r="G39" s="54"/>
      <c r="H39" s="11"/>
      <c r="I39" s="325"/>
      <c r="J39" s="883"/>
      <c r="K39" s="876"/>
      <c r="L39" s="877"/>
      <c r="M39" s="877"/>
      <c r="N39" s="877"/>
    </row>
    <row r="40" spans="1:14" ht="15">
      <c r="A40" s="29">
        <f>+A38+1</f>
        <v>19</v>
      </c>
      <c r="B40" s="77"/>
      <c r="C40" s="26" t="s">
        <v>723</v>
      </c>
      <c r="D40" s="54"/>
      <c r="E40" s="94"/>
      <c r="F40" s="11" t="s">
        <v>611</v>
      </c>
      <c r="G40" s="54"/>
      <c r="H40" s="555">
        <v>662176312</v>
      </c>
      <c r="I40" s="325"/>
      <c r="J40" s="886"/>
      <c r="K40" s="876"/>
      <c r="L40" s="877"/>
      <c r="M40" s="877"/>
      <c r="N40" s="877"/>
    </row>
    <row r="41" spans="1:14" ht="15">
      <c r="A41" s="29">
        <f>A40+1</f>
        <v>20</v>
      </c>
      <c r="B41" s="77"/>
      <c r="C41" s="26" t="s">
        <v>724</v>
      </c>
      <c r="D41" s="54"/>
      <c r="E41" s="94"/>
      <c r="F41" s="460" t="s">
        <v>725</v>
      </c>
      <c r="G41" s="54"/>
      <c r="H41" s="555">
        <v>112498042</v>
      </c>
      <c r="I41" s="325"/>
      <c r="J41" s="883"/>
      <c r="K41" s="876"/>
      <c r="L41" s="877"/>
      <c r="M41" s="877"/>
      <c r="N41" s="877"/>
    </row>
    <row r="42" spans="1:14" ht="16.5" customHeight="1">
      <c r="A42" s="29">
        <f>A41+1</f>
        <v>21</v>
      </c>
      <c r="B42" s="77"/>
      <c r="C42" s="47" t="s">
        <v>37</v>
      </c>
      <c r="D42" s="56"/>
      <c r="E42" s="184"/>
      <c r="F42" s="42" t="str">
        <f>"(Line "&amp;A40&amp;" + Line "&amp;A41&amp;")"</f>
        <v>(Line 19 + Line 20)</v>
      </c>
      <c r="G42" s="56"/>
      <c r="H42" s="34">
        <f>SUM(H40:H41)</f>
        <v>774674354</v>
      </c>
      <c r="I42" s="325"/>
      <c r="J42" s="883"/>
      <c r="K42" s="876"/>
      <c r="L42" s="877"/>
      <c r="M42" s="877"/>
      <c r="N42" s="877"/>
    </row>
    <row r="43" spans="1:14" ht="15.75">
      <c r="A43" s="29">
        <f>A42+1</f>
        <v>22</v>
      </c>
      <c r="B43" s="77"/>
      <c r="C43" s="343" t="s">
        <v>591</v>
      </c>
      <c r="D43" s="26"/>
      <c r="E43" s="28"/>
      <c r="F43" s="111" t="str">
        <f>"(Line "&amp;A$15&amp;")"</f>
        <v>(Line 5)</v>
      </c>
      <c r="G43" s="481"/>
      <c r="H43" s="911">
        <f>H15</f>
        <v>0.09918079240879704</v>
      </c>
      <c r="I43" s="325"/>
      <c r="J43" s="883"/>
      <c r="K43" s="876"/>
      <c r="L43" s="877"/>
      <c r="M43" s="877"/>
      <c r="N43" s="877"/>
    </row>
    <row r="44" spans="1:14" ht="15.75">
      <c r="A44" s="77">
        <f>+A43+1</f>
        <v>23</v>
      </c>
      <c r="B44" s="55"/>
      <c r="C44" s="49" t="s">
        <v>38</v>
      </c>
      <c r="D44" s="58"/>
      <c r="E44" s="176"/>
      <c r="F44" s="42" t="str">
        <f>"(Line "&amp;A42&amp;" * Line "&amp;A43&amp;")"</f>
        <v>(Line 21 * Line 22)</v>
      </c>
      <c r="G44" s="58"/>
      <c r="H44" s="258">
        <f>H42*H43</f>
        <v>76832816.28849295</v>
      </c>
      <c r="J44" s="877"/>
      <c r="K44" s="876"/>
      <c r="L44" s="877"/>
      <c r="M44" s="877"/>
      <c r="N44" s="877"/>
    </row>
    <row r="45" spans="1:14" ht="15.75">
      <c r="A45" s="100"/>
      <c r="B45" s="50"/>
      <c r="C45" s="24"/>
      <c r="D45" s="55"/>
      <c r="E45" s="263"/>
      <c r="F45" s="55"/>
      <c r="G45" s="55"/>
      <c r="H45" s="25"/>
      <c r="J45" s="877"/>
      <c r="K45" s="876"/>
      <c r="L45" s="877"/>
      <c r="M45" s="877"/>
      <c r="N45" s="877"/>
    </row>
    <row r="46" spans="1:14" ht="15.75">
      <c r="A46" s="77">
        <f>A44+1</f>
        <v>24</v>
      </c>
      <c r="B46" s="31"/>
      <c r="C46" s="39" t="s">
        <v>107</v>
      </c>
      <c r="D46" s="198"/>
      <c r="E46" s="197" t="str">
        <f>"(Note "&amp;B$260&amp;") (Note "&amp;B$288&amp;")"</f>
        <v>(Note C) (Note P)</v>
      </c>
      <c r="F46" s="59" t="s">
        <v>268</v>
      </c>
      <c r="G46" s="56"/>
      <c r="H46" s="259">
        <f>'5 - Cost Support'!H19+'5 - Cost Support'!I19</f>
        <v>42736636</v>
      </c>
      <c r="J46" s="877"/>
      <c r="K46" s="876"/>
      <c r="L46" s="877"/>
      <c r="M46" s="877"/>
      <c r="N46" s="877"/>
    </row>
    <row r="47" spans="1:14" ht="15.75">
      <c r="A47" s="100"/>
      <c r="B47" s="50"/>
      <c r="C47" s="24"/>
      <c r="D47" s="55"/>
      <c r="E47" s="94"/>
      <c r="F47" s="55"/>
      <c r="H47" s="25"/>
      <c r="J47" s="877"/>
      <c r="K47" s="876"/>
      <c r="L47" s="877"/>
      <c r="M47" s="877"/>
      <c r="N47" s="877"/>
    </row>
    <row r="48" spans="1:14" s="1" customFormat="1" ht="16.5" thickBot="1">
      <c r="A48" s="77">
        <f>+A46+1</f>
        <v>25</v>
      </c>
      <c r="B48" s="43" t="s">
        <v>298</v>
      </c>
      <c r="C48" s="393"/>
      <c r="D48" s="393"/>
      <c r="E48" s="513"/>
      <c r="F48" s="461" t="str">
        <f>"(Line "&amp;A38&amp;" + Line "&amp;A44&amp;" + Line "&amp;A46&amp;")"</f>
        <v>(Line 18 + Line 23 + Line 24)</v>
      </c>
      <c r="G48" s="43"/>
      <c r="H48" s="44">
        <f>H38+H44+H46</f>
        <v>3603702469.86516</v>
      </c>
      <c r="I48" s="213"/>
      <c r="J48" s="887"/>
      <c r="K48" s="876"/>
      <c r="L48" s="877"/>
      <c r="M48" s="887"/>
      <c r="N48" s="887"/>
    </row>
    <row r="49" spans="1:14" ht="15.75" thickTop="1">
      <c r="A49" s="100"/>
      <c r="B49" s="50"/>
      <c r="C49" s="55"/>
      <c r="D49" s="55"/>
      <c r="E49" s="94"/>
      <c r="J49" s="877"/>
      <c r="K49" s="876"/>
      <c r="L49" s="877"/>
      <c r="M49" s="877"/>
      <c r="N49" s="877"/>
    </row>
    <row r="50" spans="1:14" ht="15.75">
      <c r="A50" s="29"/>
      <c r="B50" s="24" t="s">
        <v>385</v>
      </c>
      <c r="C50" s="24"/>
      <c r="D50" s="11"/>
      <c r="E50" s="28"/>
      <c r="F50" s="5"/>
      <c r="G50" s="15"/>
      <c r="H50" s="11"/>
      <c r="J50" s="877"/>
      <c r="K50" s="876"/>
      <c r="L50" s="877"/>
      <c r="M50" s="877"/>
      <c r="N50" s="877"/>
    </row>
    <row r="51" spans="1:14" ht="15">
      <c r="A51" s="100"/>
      <c r="B51" s="54"/>
      <c r="C51" s="54"/>
      <c r="D51" s="54"/>
      <c r="E51" s="629"/>
      <c r="F51" s="11"/>
      <c r="G51" s="5"/>
      <c r="H51" s="5"/>
      <c r="J51" s="877"/>
      <c r="K51" s="876"/>
      <c r="L51" s="877"/>
      <c r="M51" s="877"/>
      <c r="N51" s="877"/>
    </row>
    <row r="52" spans="1:14" ht="15.75">
      <c r="A52" s="29">
        <f>+A48+1</f>
        <v>26</v>
      </c>
      <c r="B52" s="77"/>
      <c r="C52" s="26" t="s">
        <v>481</v>
      </c>
      <c r="D52" s="27"/>
      <c r="E52" s="628" t="str">
        <f>"(Note "&amp;B$273&amp;")"</f>
        <v>(Note J)</v>
      </c>
      <c r="F52" s="11" t="s">
        <v>373</v>
      </c>
      <c r="G52" s="27"/>
      <c r="H52" s="791">
        <v>526474862</v>
      </c>
      <c r="J52" s="952"/>
      <c r="K52" s="876"/>
      <c r="L52" s="877"/>
      <c r="M52" s="877"/>
      <c r="N52" s="877"/>
    </row>
    <row r="53" spans="1:14" ht="15">
      <c r="A53" s="29"/>
      <c r="B53" s="77"/>
      <c r="C53" s="46"/>
      <c r="D53" s="36"/>
      <c r="E53" s="628"/>
      <c r="F53" s="42"/>
      <c r="G53" s="36"/>
      <c r="H53" s="42"/>
      <c r="J53" s="877"/>
      <c r="K53" s="876"/>
      <c r="L53" s="877"/>
      <c r="M53" s="877"/>
      <c r="N53" s="877"/>
    </row>
    <row r="54" spans="1:14" ht="15">
      <c r="A54" s="29">
        <f>A52+1</f>
        <v>27</v>
      </c>
      <c r="B54" s="77"/>
      <c r="C54" s="46" t="s">
        <v>534</v>
      </c>
      <c r="D54" s="80"/>
      <c r="E54" s="628" t="str">
        <f>"(Note "&amp;B$273&amp;")"</f>
        <v>(Note J)</v>
      </c>
      <c r="F54" s="42" t="s">
        <v>488</v>
      </c>
      <c r="G54" s="80"/>
      <c r="H54" s="557">
        <v>209233689</v>
      </c>
      <c r="J54" s="877"/>
      <c r="K54" s="876"/>
      <c r="L54" s="877"/>
      <c r="M54" s="877"/>
      <c r="N54" s="877"/>
    </row>
    <row r="55" spans="1:14" ht="15">
      <c r="A55" s="29">
        <f>A54+1</f>
        <v>28</v>
      </c>
      <c r="B55" s="77"/>
      <c r="C55" s="156" t="str">
        <f>+C21</f>
        <v>Accumulated Amortization</v>
      </c>
      <c r="D55" s="196"/>
      <c r="E55" s="263"/>
      <c r="F55" s="111" t="str">
        <f>"(Line "&amp;A$21&amp;")"</f>
        <v>(Line 8)</v>
      </c>
      <c r="G55" s="196"/>
      <c r="H55" s="111">
        <f>H21</f>
        <v>55700651</v>
      </c>
      <c r="J55" s="888"/>
      <c r="K55" s="876"/>
      <c r="L55" s="877"/>
      <c r="M55" s="877"/>
      <c r="N55" s="877"/>
    </row>
    <row r="56" spans="1:14" ht="15">
      <c r="A56" s="29">
        <f>A55+1</f>
        <v>29</v>
      </c>
      <c r="B56" s="77"/>
      <c r="C56" s="48" t="s">
        <v>393</v>
      </c>
      <c r="D56" s="36"/>
      <c r="E56" s="514"/>
      <c r="F56" s="42" t="str">
        <f>"(Line "&amp;A54&amp;" + "&amp;A55&amp;")"</f>
        <v>(Line 27 + 28)</v>
      </c>
      <c r="G56" s="42"/>
      <c r="H56" s="25">
        <f>SUM(H54:H55)</f>
        <v>264934340</v>
      </c>
      <c r="J56" s="877"/>
      <c r="K56" s="876"/>
      <c r="L56" s="877"/>
      <c r="M56" s="877"/>
      <c r="N56" s="877"/>
    </row>
    <row r="57" spans="1:14" ht="15">
      <c r="A57" s="29">
        <f>+A56+1</f>
        <v>30</v>
      </c>
      <c r="B57" s="77"/>
      <c r="C57" s="46" t="str">
        <f>+C43</f>
        <v>Wage &amp; Salary Allocator</v>
      </c>
      <c r="D57" s="36"/>
      <c r="E57" s="514"/>
      <c r="F57" s="111" t="str">
        <f>"(Line "&amp;A$15&amp;")"</f>
        <v>(Line 5)</v>
      </c>
      <c r="G57" s="42"/>
      <c r="H57" s="912">
        <f>H15</f>
        <v>0.09918079240879704</v>
      </c>
      <c r="J57" s="877"/>
      <c r="K57" s="876"/>
      <c r="L57" s="877"/>
      <c r="M57" s="877"/>
      <c r="N57" s="877"/>
    </row>
    <row r="58" spans="1:14" ht="15">
      <c r="A58" s="29">
        <f>+A57+1</f>
        <v>31</v>
      </c>
      <c r="B58" s="55"/>
      <c r="C58" s="47" t="s">
        <v>36</v>
      </c>
      <c r="D58" s="58"/>
      <c r="E58" s="184"/>
      <c r="F58" s="42" t="str">
        <f>"(Line "&amp;A56&amp;" * Line "&amp;A57&amp;")"</f>
        <v>(Line 29 * Line 30)</v>
      </c>
      <c r="G58" s="58"/>
      <c r="H58" s="34">
        <f>H56*H57</f>
        <v>26276397.777501654</v>
      </c>
      <c r="J58" s="877"/>
      <c r="K58" s="876"/>
      <c r="L58" s="877"/>
      <c r="M58" s="877"/>
      <c r="N58" s="877"/>
    </row>
    <row r="59" spans="1:14" ht="15">
      <c r="A59" s="100"/>
      <c r="B59" s="50"/>
      <c r="C59" s="50"/>
      <c r="D59" s="50"/>
      <c r="F59" s="92"/>
      <c r="G59" s="92"/>
      <c r="H59" s="314"/>
      <c r="J59" s="877"/>
      <c r="K59" s="876"/>
      <c r="L59" s="877"/>
      <c r="M59" s="877"/>
      <c r="N59" s="877"/>
    </row>
    <row r="60" spans="1:14" ht="16.5" thickBot="1">
      <c r="A60" s="77">
        <f>A58+1</f>
        <v>32</v>
      </c>
      <c r="B60" s="43" t="s">
        <v>393</v>
      </c>
      <c r="C60" s="43"/>
      <c r="D60" s="43"/>
      <c r="E60" s="177"/>
      <c r="F60" s="531" t="str">
        <f>"(Sum Lines "&amp;A52&amp;" + "&amp;A58&amp;")"</f>
        <v>(Sum Lines 26 + 31)</v>
      </c>
      <c r="G60" s="531"/>
      <c r="H60" s="44">
        <f>H52+H58</f>
        <v>552751259.7775017</v>
      </c>
      <c r="J60" s="877"/>
      <c r="K60" s="876"/>
      <c r="L60" s="877"/>
      <c r="M60" s="877"/>
      <c r="N60" s="877"/>
    </row>
    <row r="61" spans="1:14" ht="15.75" thickTop="1">
      <c r="A61" s="100"/>
      <c r="B61" s="50"/>
      <c r="C61" s="50"/>
      <c r="D61" s="50"/>
      <c r="F61" s="55"/>
      <c r="G61" s="32"/>
      <c r="J61" s="877"/>
      <c r="K61" s="876"/>
      <c r="L61" s="877"/>
      <c r="M61" s="877"/>
      <c r="N61" s="877"/>
    </row>
    <row r="62" spans="1:14" ht="16.5" thickBot="1">
      <c r="A62" s="77">
        <f>+A60+1</f>
        <v>33</v>
      </c>
      <c r="B62" s="43" t="s">
        <v>576</v>
      </c>
      <c r="C62" s="43"/>
      <c r="D62" s="43"/>
      <c r="E62" s="177"/>
      <c r="F62" s="461" t="str">
        <f>"(Line "&amp;A48&amp;" - Line "&amp;A60&amp;")"</f>
        <v>(Line 25 - Line 32)</v>
      </c>
      <c r="G62" s="43"/>
      <c r="H62" s="44">
        <f>H48-H60</f>
        <v>3050951210.0876584</v>
      </c>
      <c r="J62" s="877"/>
      <c r="K62" s="876"/>
      <c r="L62" s="877"/>
      <c r="M62" s="877"/>
      <c r="N62" s="877"/>
    </row>
    <row r="63" spans="1:14" ht="15.75" thickTop="1">
      <c r="A63" s="93"/>
      <c r="B63" s="50"/>
      <c r="C63" s="50"/>
      <c r="D63" s="50"/>
      <c r="F63" s="55"/>
      <c r="J63" s="877"/>
      <c r="K63" s="876"/>
      <c r="L63" s="877"/>
      <c r="M63" s="877"/>
      <c r="N63" s="877"/>
    </row>
    <row r="64" spans="1:14" ht="15.75">
      <c r="A64" s="91" t="s">
        <v>395</v>
      </c>
      <c r="B64" s="115"/>
      <c r="C64" s="115"/>
      <c r="D64" s="115"/>
      <c r="E64" s="167"/>
      <c r="F64" s="116"/>
      <c r="G64" s="116"/>
      <c r="H64" s="125"/>
      <c r="J64" s="877"/>
      <c r="K64" s="876"/>
      <c r="L64" s="877"/>
      <c r="M64" s="877"/>
      <c r="N64" s="877"/>
    </row>
    <row r="65" spans="1:14" ht="15">
      <c r="A65" s="230"/>
      <c r="B65" s="231"/>
      <c r="C65" s="231"/>
      <c r="D65" s="231"/>
      <c r="J65" s="877"/>
      <c r="K65" s="876"/>
      <c r="L65" s="877"/>
      <c r="M65" s="877"/>
      <c r="N65" s="877"/>
    </row>
    <row r="66" spans="1:14" ht="15.75">
      <c r="A66" s="100"/>
      <c r="B66" s="308" t="s">
        <v>740</v>
      </c>
      <c r="C66" s="10"/>
      <c r="D66" s="55"/>
      <c r="E66" s="104"/>
      <c r="F66" s="35"/>
      <c r="H66" s="5"/>
      <c r="J66" s="877"/>
      <c r="K66" s="876"/>
      <c r="L66" s="877"/>
      <c r="M66" s="877"/>
      <c r="N66" s="877"/>
    </row>
    <row r="67" spans="1:14" ht="15.75">
      <c r="A67" s="100">
        <f>+A62+1</f>
        <v>34</v>
      </c>
      <c r="B67" s="308"/>
      <c r="C67" s="623" t="s">
        <v>24</v>
      </c>
      <c r="D67" s="548"/>
      <c r="F67" s="347" t="s">
        <v>266</v>
      </c>
      <c r="H67" s="462">
        <f>'ATT 1-ADIT'!G17</f>
        <v>-439976603.8993235</v>
      </c>
      <c r="J67" s="877"/>
      <c r="K67" s="876"/>
      <c r="L67" s="877"/>
      <c r="M67" s="877"/>
      <c r="N67" s="877"/>
    </row>
    <row r="68" spans="1:14" ht="15.75">
      <c r="A68" s="100"/>
      <c r="B68" s="325"/>
      <c r="C68" s="308"/>
      <c r="D68" s="105"/>
      <c r="E68" s="201"/>
      <c r="F68" s="61"/>
      <c r="G68" s="82"/>
      <c r="H68" s="240"/>
      <c r="J68" s="877"/>
      <c r="K68" s="876"/>
      <c r="L68" s="877"/>
      <c r="M68" s="877"/>
      <c r="N68" s="877"/>
    </row>
    <row r="69" spans="1:14" ht="15.75">
      <c r="A69" s="29"/>
      <c r="B69" s="213" t="s">
        <v>292</v>
      </c>
      <c r="C69" s="55"/>
      <c r="D69" s="55"/>
      <c r="E69" s="55"/>
      <c r="F69" s="54"/>
      <c r="G69" s="55"/>
      <c r="H69" s="55"/>
      <c r="J69" s="877"/>
      <c r="K69" s="876"/>
      <c r="L69" s="877"/>
      <c r="M69" s="877"/>
      <c r="N69" s="877"/>
    </row>
    <row r="70" spans="1:14" ht="15.75">
      <c r="A70" s="29">
        <f>A67+1</f>
        <v>35</v>
      </c>
      <c r="B70" s="45"/>
      <c r="C70" s="46" t="s">
        <v>293</v>
      </c>
      <c r="D70" s="197"/>
      <c r="E70" s="197" t="str">
        <f>"(Note "&amp;B$266&amp;")"</f>
        <v>(Note H)</v>
      </c>
      <c r="F70" s="99" t="s">
        <v>265</v>
      </c>
      <c r="G70" s="105"/>
      <c r="H70" s="131">
        <f>'6- Est &amp; Reconcile WS'!X164</f>
        <v>20489306.419999994</v>
      </c>
      <c r="J70" s="877"/>
      <c r="K70" s="876"/>
      <c r="L70" s="877"/>
      <c r="M70" s="877"/>
      <c r="N70" s="877"/>
    </row>
    <row r="71" spans="1:14" ht="15">
      <c r="A71" s="29"/>
      <c r="B71" s="77"/>
      <c r="C71" s="618"/>
      <c r="D71" s="197"/>
      <c r="E71" s="272"/>
      <c r="F71" s="63"/>
      <c r="G71" s="42"/>
      <c r="J71" s="877"/>
      <c r="K71" s="876"/>
      <c r="L71" s="877"/>
      <c r="M71" s="877"/>
      <c r="N71" s="877"/>
    </row>
    <row r="72" spans="1:14" ht="15.75">
      <c r="A72" s="29"/>
      <c r="B72" s="478" t="s">
        <v>386</v>
      </c>
      <c r="C72" s="155"/>
      <c r="D72" s="54"/>
      <c r="E72" s="94"/>
      <c r="F72" s="496"/>
      <c r="G72" s="62"/>
      <c r="J72" s="877"/>
      <c r="K72" s="876"/>
      <c r="L72" s="877"/>
      <c r="M72" s="877"/>
      <c r="N72" s="877"/>
    </row>
    <row r="73" spans="1:14" ht="15.75">
      <c r="A73" s="29">
        <f>A70+1</f>
        <v>36</v>
      </c>
      <c r="B73" s="479"/>
      <c r="C73" s="600" t="s">
        <v>386</v>
      </c>
      <c r="D73" s="197"/>
      <c r="E73" s="197" t="str">
        <f>"(Note "&amp;B$257&amp;") (Note "&amp;B$285&amp;")"</f>
        <v>(Note A) (Note O)</v>
      </c>
      <c r="F73" s="342" t="s">
        <v>268</v>
      </c>
      <c r="G73" s="149"/>
      <c r="H73" s="491">
        <f>'5 - Cost Support'!L83</f>
        <v>667087.2326793815</v>
      </c>
      <c r="J73" s="889"/>
      <c r="K73" s="876"/>
      <c r="L73" s="877"/>
      <c r="M73" s="877"/>
      <c r="N73" s="877"/>
    </row>
    <row r="74" spans="1:14" ht="15.75">
      <c r="A74" s="6"/>
      <c r="B74" s="477"/>
      <c r="C74" s="155"/>
      <c r="E74" s="31"/>
      <c r="F74" s="497"/>
      <c r="G74" s="62"/>
      <c r="H74" s="64"/>
      <c r="J74" s="875"/>
      <c r="K74" s="876"/>
      <c r="L74" s="877"/>
      <c r="M74" s="877"/>
      <c r="N74" s="877"/>
    </row>
    <row r="75" spans="1:14" ht="15.75">
      <c r="A75" s="29"/>
      <c r="B75" s="478" t="s">
        <v>384</v>
      </c>
      <c r="C75" s="325"/>
      <c r="D75" s="55"/>
      <c r="E75" s="165"/>
      <c r="F75" s="497"/>
      <c r="G75" s="62"/>
      <c r="H75" s="64"/>
      <c r="J75" s="877"/>
      <c r="K75" s="876"/>
      <c r="L75" s="877"/>
      <c r="M75" s="877"/>
      <c r="N75" s="877"/>
    </row>
    <row r="76" spans="1:14" ht="15">
      <c r="A76" s="100">
        <f>A73+1</f>
        <v>37</v>
      </c>
      <c r="B76" s="325"/>
      <c r="C76" s="325" t="s">
        <v>539</v>
      </c>
      <c r="D76" s="54"/>
      <c r="E76" s="197" t="str">
        <f>"(Note "&amp;B$257&amp;")"</f>
        <v>(Note A)</v>
      </c>
      <c r="F76" s="155" t="s">
        <v>350</v>
      </c>
      <c r="H76" s="555">
        <v>1379955</v>
      </c>
      <c r="J76" s="877"/>
      <c r="K76" s="876"/>
      <c r="L76" s="877"/>
      <c r="M76" s="877"/>
      <c r="N76" s="877"/>
    </row>
    <row r="77" spans="1:14" s="55" customFormat="1" ht="15.75">
      <c r="A77" s="29">
        <f>+A76+1</f>
        <v>38</v>
      </c>
      <c r="B77" s="477"/>
      <c r="C77" s="343" t="s">
        <v>591</v>
      </c>
      <c r="D77" s="96"/>
      <c r="E77" s="178"/>
      <c r="F77" s="111" t="str">
        <f>"(Line "&amp;A$15&amp;")"</f>
        <v>(Line 5)</v>
      </c>
      <c r="G77" s="98"/>
      <c r="H77" s="913">
        <f>H15</f>
        <v>0.09918079240879704</v>
      </c>
      <c r="J77" s="877"/>
      <c r="K77" s="876"/>
      <c r="L77" s="877"/>
      <c r="M77" s="877"/>
      <c r="N77" s="877"/>
    </row>
    <row r="78" spans="1:14" ht="15.75">
      <c r="A78" s="29">
        <f>+A77+1</f>
        <v>39</v>
      </c>
      <c r="B78" s="477"/>
      <c r="C78" s="155" t="s">
        <v>601</v>
      </c>
      <c r="D78" s="54"/>
      <c r="E78" s="94"/>
      <c r="F78" s="42" t="str">
        <f>"(Line "&amp;A76&amp;" * Line "&amp;A77&amp;")"</f>
        <v>(Line 37 * Line 38)</v>
      </c>
      <c r="G78" s="62"/>
      <c r="H78" s="68">
        <f>H76*H77</f>
        <v>136865.0303884815</v>
      </c>
      <c r="J78" s="877"/>
      <c r="K78" s="876"/>
      <c r="L78" s="877"/>
      <c r="M78" s="877"/>
      <c r="N78" s="877"/>
    </row>
    <row r="79" spans="1:14" ht="15.75">
      <c r="A79" s="29">
        <f>A78+1</f>
        <v>40</v>
      </c>
      <c r="B79" s="477"/>
      <c r="C79" s="155" t="s">
        <v>375</v>
      </c>
      <c r="D79" s="54"/>
      <c r="E79" s="77"/>
      <c r="F79" s="343" t="s">
        <v>404</v>
      </c>
      <c r="G79" s="62"/>
      <c r="H79" s="558">
        <v>7682294</v>
      </c>
      <c r="J79" s="877"/>
      <c r="K79" s="876"/>
      <c r="L79" s="877"/>
      <c r="M79" s="877"/>
      <c r="N79" s="877"/>
    </row>
    <row r="80" spans="1:14" ht="18" customHeight="1">
      <c r="A80" s="29">
        <f>A79+1</f>
        <v>41</v>
      </c>
      <c r="B80" s="477"/>
      <c r="C80" s="480" t="s">
        <v>383</v>
      </c>
      <c r="D80" s="518"/>
      <c r="E80" s="179"/>
      <c r="F80" s="42" t="str">
        <f>"(Line "&amp;A78&amp;" + Line "&amp;A79&amp;")"</f>
        <v>(Line 39 + Line 40)</v>
      </c>
      <c r="G80" s="70"/>
      <c r="H80" s="71">
        <f>H78+H79</f>
        <v>7819159.030388482</v>
      </c>
      <c r="J80" s="877"/>
      <c r="K80" s="876"/>
      <c r="L80" s="877"/>
      <c r="M80" s="877"/>
      <c r="N80" s="877"/>
    </row>
    <row r="81" spans="1:14" ht="15.75">
      <c r="A81" s="29"/>
      <c r="B81" s="477"/>
      <c r="C81" s="155"/>
      <c r="D81" s="54"/>
      <c r="E81" s="31"/>
      <c r="F81" s="497"/>
      <c r="G81" s="62"/>
      <c r="J81" s="877"/>
      <c r="K81" s="876"/>
      <c r="L81" s="877"/>
      <c r="M81" s="877"/>
      <c r="N81" s="877"/>
    </row>
    <row r="82" spans="1:14" ht="15.75">
      <c r="A82" s="29"/>
      <c r="B82" s="478" t="s">
        <v>387</v>
      </c>
      <c r="C82" s="325"/>
      <c r="D82" s="54"/>
      <c r="F82" s="149"/>
      <c r="G82" s="62"/>
      <c r="J82" s="877"/>
      <c r="K82" s="876"/>
      <c r="L82" s="877"/>
      <c r="M82" s="877"/>
      <c r="N82" s="877"/>
    </row>
    <row r="83" spans="1:14" ht="15.75">
      <c r="A83" s="29">
        <f>+A80+1</f>
        <v>42</v>
      </c>
      <c r="B83" s="477"/>
      <c r="C83" s="53" t="s">
        <v>97</v>
      </c>
      <c r="D83" s="66"/>
      <c r="E83" s="94"/>
      <c r="F83" s="42" t="str">
        <f>"(Line "&amp;A$123&amp;")"</f>
        <v>(Line 70)</v>
      </c>
      <c r="G83" s="62"/>
      <c r="H83" s="19">
        <f>H123</f>
        <v>64871539.504028186</v>
      </c>
      <c r="J83" s="875"/>
      <c r="K83" s="876"/>
      <c r="L83" s="877"/>
      <c r="M83" s="877"/>
      <c r="N83" s="877"/>
    </row>
    <row r="84" spans="1:14" ht="15">
      <c r="A84" s="29">
        <f>+A83+1</f>
        <v>43</v>
      </c>
      <c r="B84" s="477"/>
      <c r="C84" s="347" t="s">
        <v>475</v>
      </c>
      <c r="D84" s="66"/>
      <c r="E84" s="94"/>
      <c r="F84" s="150" t="s">
        <v>602</v>
      </c>
      <c r="H84" s="434">
        <f>1/8</f>
        <v>0.125</v>
      </c>
      <c r="J84" s="877"/>
      <c r="K84" s="876"/>
      <c r="L84" s="877"/>
      <c r="M84" s="877"/>
      <c r="N84" s="877"/>
    </row>
    <row r="85" spans="1:14" s="73" customFormat="1" ht="15.75">
      <c r="A85" s="29">
        <f>+A84+1</f>
        <v>44</v>
      </c>
      <c r="B85" s="481"/>
      <c r="C85" s="476" t="s">
        <v>374</v>
      </c>
      <c r="D85" s="72"/>
      <c r="E85" s="180"/>
      <c r="F85" s="42" t="str">
        <f>"(Line "&amp;A83&amp;" * Line "&amp;A84&amp;")"</f>
        <v>(Line 42 * Line 43)</v>
      </c>
      <c r="G85" s="69"/>
      <c r="H85" s="74">
        <f>H83*H84</f>
        <v>8108942.438003523</v>
      </c>
      <c r="I85" s="247"/>
      <c r="J85" s="880"/>
      <c r="K85" s="881"/>
      <c r="L85" s="880"/>
      <c r="M85" s="880"/>
      <c r="N85" s="880"/>
    </row>
    <row r="86" spans="1:14" s="73" customFormat="1" ht="15.75">
      <c r="A86" s="29"/>
      <c r="B86" s="481"/>
      <c r="C86" s="308"/>
      <c r="D86" s="255"/>
      <c r="E86" s="187"/>
      <c r="F86" s="42"/>
      <c r="G86" s="256"/>
      <c r="H86" s="435"/>
      <c r="I86" s="247"/>
      <c r="J86" s="880"/>
      <c r="K86" s="881"/>
      <c r="L86" s="880"/>
      <c r="M86" s="880"/>
      <c r="N86" s="880"/>
    </row>
    <row r="87" spans="1:14" ht="16.5" thickBot="1">
      <c r="A87" s="92">
        <f>A85+1</f>
        <v>45</v>
      </c>
      <c r="B87" s="43" t="s">
        <v>577</v>
      </c>
      <c r="C87" s="43"/>
      <c r="D87" s="43"/>
      <c r="E87" s="177"/>
      <c r="F87" s="459" t="str">
        <f>"(Lines "&amp;A67&amp;" + "&amp;A70&amp;" + "&amp;A73&amp;" + "&amp;A80&amp;" + "&amp;A85&amp;")"</f>
        <v>(Lines 34 + 35 + 36 + 41 + 44)</v>
      </c>
      <c r="G87" s="393"/>
      <c r="H87" s="463">
        <f>H67+H70+H73+H80+H85</f>
        <v>-402892108.7782521</v>
      </c>
      <c r="J87" s="889"/>
      <c r="K87" s="876"/>
      <c r="L87" s="877"/>
      <c r="M87" s="877"/>
      <c r="N87" s="877"/>
    </row>
    <row r="88" spans="1:14" ht="15.75" thickTop="1">
      <c r="A88" s="92"/>
      <c r="B88" s="50"/>
      <c r="C88" s="50"/>
      <c r="D88" s="50"/>
      <c r="F88" s="55"/>
      <c r="H88" s="88"/>
      <c r="J88" s="877"/>
      <c r="K88" s="876"/>
      <c r="L88" s="877"/>
      <c r="M88" s="877"/>
      <c r="N88" s="877"/>
    </row>
    <row r="89" spans="1:14" s="35" customFormat="1" ht="16.5" thickBot="1">
      <c r="A89" s="31">
        <f>+A87+1</f>
        <v>46</v>
      </c>
      <c r="B89" s="43" t="s">
        <v>470</v>
      </c>
      <c r="C89" s="43"/>
      <c r="D89" s="43"/>
      <c r="E89" s="177"/>
      <c r="F89" s="459" t="str">
        <f>"(Line "&amp;A62&amp;" + Line "&amp;A87&amp;")"</f>
        <v>(Line 33 + Line 45)</v>
      </c>
      <c r="G89" s="43"/>
      <c r="H89" s="44">
        <f>H62+H87</f>
        <v>2648059101.3094063</v>
      </c>
      <c r="I89" s="325"/>
      <c r="J89" s="886"/>
      <c r="K89" s="884"/>
      <c r="L89" s="883"/>
      <c r="M89" s="883"/>
      <c r="N89" s="883"/>
    </row>
    <row r="90" spans="2:14" ht="15.75" thickTop="1">
      <c r="B90" s="50"/>
      <c r="C90" s="50"/>
      <c r="D90" s="50"/>
      <c r="J90" s="877"/>
      <c r="K90" s="876"/>
      <c r="L90" s="877"/>
      <c r="M90" s="877"/>
      <c r="N90" s="877"/>
    </row>
    <row r="91" spans="1:14" s="55" customFormat="1" ht="15.75">
      <c r="A91" s="121" t="s">
        <v>615</v>
      </c>
      <c r="B91" s="122"/>
      <c r="C91" s="485"/>
      <c r="D91" s="124"/>
      <c r="E91" s="181"/>
      <c r="F91" s="125"/>
      <c r="G91" s="125"/>
      <c r="H91" s="126"/>
      <c r="J91" s="877"/>
      <c r="K91" s="876"/>
      <c r="L91" s="877"/>
      <c r="M91" s="877"/>
      <c r="N91" s="877"/>
    </row>
    <row r="92" spans="1:14" s="55" customFormat="1" ht="15.75">
      <c r="A92" s="54"/>
      <c r="B92" s="54"/>
      <c r="C92" s="54"/>
      <c r="D92" s="54"/>
      <c r="E92" s="182"/>
      <c r="H92" s="114"/>
      <c r="J92" s="877"/>
      <c r="K92" s="876"/>
      <c r="L92" s="877"/>
      <c r="M92" s="877"/>
      <c r="N92" s="877"/>
    </row>
    <row r="93" spans="1:14" ht="15.75">
      <c r="A93" s="6"/>
      <c r="B93" s="24" t="s">
        <v>462</v>
      </c>
      <c r="D93" s="5"/>
      <c r="E93" s="20"/>
      <c r="G93" s="5"/>
      <c r="H93" s="5"/>
      <c r="J93" s="877"/>
      <c r="K93" s="876"/>
      <c r="L93" s="877"/>
      <c r="M93" s="877"/>
      <c r="N93" s="877"/>
    </row>
    <row r="94" spans="1:14" ht="15.75">
      <c r="A94" s="29">
        <f>+A89+1</f>
        <v>47</v>
      </c>
      <c r="B94" s="77"/>
      <c r="C94" s="26" t="s">
        <v>462</v>
      </c>
      <c r="D94" s="54"/>
      <c r="E94" s="94"/>
      <c r="F94" s="11" t="s">
        <v>268</v>
      </c>
      <c r="G94" s="45"/>
      <c r="H94" s="11">
        <f>'5 - Cost Support'!I99</f>
        <v>141151414</v>
      </c>
      <c r="I94" s="400"/>
      <c r="J94" s="890"/>
      <c r="K94" s="876"/>
      <c r="L94" s="877"/>
      <c r="M94" s="877"/>
      <c r="N94" s="877"/>
    </row>
    <row r="95" spans="1:15" ht="15">
      <c r="A95" s="29">
        <f>A94+1</f>
        <v>48</v>
      </c>
      <c r="B95" s="77"/>
      <c r="C95" s="26" t="s">
        <v>518</v>
      </c>
      <c r="D95" s="54"/>
      <c r="E95" s="94"/>
      <c r="F95" s="11" t="s">
        <v>268</v>
      </c>
      <c r="G95" s="54"/>
      <c r="H95" s="11">
        <f>'5 - Cost Support'!I102</f>
        <v>95373081</v>
      </c>
      <c r="J95" s="890"/>
      <c r="K95" s="884"/>
      <c r="L95" s="883"/>
      <c r="M95" s="883"/>
      <c r="N95" s="883"/>
      <c r="O95" s="35"/>
    </row>
    <row r="96" spans="1:14" ht="15">
      <c r="A96" s="29">
        <f>A95+1</f>
        <v>49</v>
      </c>
      <c r="B96" s="77"/>
      <c r="C96" s="860" t="s">
        <v>746</v>
      </c>
      <c r="D96" s="11"/>
      <c r="E96" s="200" t="str">
        <f>"(Note "&amp;B$283&amp;")"</f>
        <v>(Note N)</v>
      </c>
      <c r="F96" s="928" t="s">
        <v>268</v>
      </c>
      <c r="G96" s="54"/>
      <c r="H96" s="42">
        <v>0</v>
      </c>
      <c r="J96" s="42"/>
      <c r="K96" s="400"/>
      <c r="L96" s="42"/>
      <c r="M96" s="877"/>
      <c r="N96" s="877"/>
    </row>
    <row r="97" spans="1:14" ht="15.75">
      <c r="A97" s="29">
        <f>A96+1</f>
        <v>50</v>
      </c>
      <c r="B97" s="54"/>
      <c r="C97" s="39" t="s">
        <v>462</v>
      </c>
      <c r="D97" s="56"/>
      <c r="E97" s="184"/>
      <c r="F97" s="42" t="str">
        <f>"(Lines "&amp;A94&amp;"  - "&amp;A95&amp;" + "&amp;A96&amp;")"</f>
        <v>(Lines 47  - 48 + 49)</v>
      </c>
      <c r="G97" s="58"/>
      <c r="H97" s="259">
        <f>H94-H95+H96</f>
        <v>45778333</v>
      </c>
      <c r="J97" s="877"/>
      <c r="K97" s="876"/>
      <c r="L97" s="877"/>
      <c r="M97" s="877"/>
      <c r="N97" s="877"/>
    </row>
    <row r="98" spans="1:14" ht="15.75">
      <c r="A98" s="29"/>
      <c r="B98" s="77"/>
      <c r="C98" s="24"/>
      <c r="D98" s="54"/>
      <c r="E98" s="28"/>
      <c r="F98" s="54"/>
      <c r="G98" s="54"/>
      <c r="H98" s="38"/>
      <c r="J98" s="877"/>
      <c r="K98" s="876"/>
      <c r="L98" s="877"/>
      <c r="M98" s="877"/>
      <c r="N98" s="877"/>
    </row>
    <row r="99" spans="1:14" ht="15.75">
      <c r="A99" s="29"/>
      <c r="B99" s="24" t="s">
        <v>39</v>
      </c>
      <c r="C99" s="54"/>
      <c r="D99" s="54"/>
      <c r="E99" s="28"/>
      <c r="F99" s="54"/>
      <c r="G99" s="54"/>
      <c r="H99" s="38"/>
      <c r="J99" s="877"/>
      <c r="K99" s="876"/>
      <c r="L99" s="877"/>
      <c r="M99" s="877"/>
      <c r="N99" s="877"/>
    </row>
    <row r="100" spans="1:14" ht="15.75">
      <c r="A100" s="29">
        <f>A97+1</f>
        <v>51</v>
      </c>
      <c r="B100" s="77"/>
      <c r="C100" s="26" t="s">
        <v>465</v>
      </c>
      <c r="D100" s="54"/>
      <c r="E100" s="94"/>
      <c r="F100" s="690" t="s">
        <v>105</v>
      </c>
      <c r="G100" s="54"/>
      <c r="H100" s="555">
        <v>194341919</v>
      </c>
      <c r="J100" s="889"/>
      <c r="K100" s="876"/>
      <c r="L100" s="877"/>
      <c r="M100" s="877"/>
      <c r="N100" s="877"/>
    </row>
    <row r="101" spans="1:14" ht="15.75">
      <c r="A101" s="29">
        <f>A100+1</f>
        <v>52</v>
      </c>
      <c r="B101" s="77"/>
      <c r="C101" s="26" t="s">
        <v>688</v>
      </c>
      <c r="D101" s="54"/>
      <c r="E101" s="647" t="str">
        <f>"(Note "&amp;$B$285&amp;")"</f>
        <v>(Note O)</v>
      </c>
      <c r="F101" s="42" t="s">
        <v>267</v>
      </c>
      <c r="G101" s="54"/>
      <c r="H101" s="11">
        <f>'8 - Securitization'!E17</f>
        <v>0</v>
      </c>
      <c r="J101" s="995"/>
      <c r="K101" s="876"/>
      <c r="L101" s="877"/>
      <c r="M101" s="877"/>
      <c r="N101" s="877"/>
    </row>
    <row r="102" spans="1:14" ht="15">
      <c r="A102" s="29">
        <f>A101+1</f>
        <v>53</v>
      </c>
      <c r="B102" s="29"/>
      <c r="C102" s="26" t="s">
        <v>571</v>
      </c>
      <c r="D102" s="27"/>
      <c r="E102" s="197" t="str">
        <f>"(Note "&amp;B$273&amp;")"</f>
        <v>(Note J)</v>
      </c>
      <c r="F102" s="11" t="s">
        <v>268</v>
      </c>
      <c r="G102" s="54"/>
      <c r="H102" s="11">
        <f>+'5 - Cost Support'!G30</f>
        <v>1518585</v>
      </c>
      <c r="J102" s="877"/>
      <c r="K102" s="876"/>
      <c r="L102" s="877"/>
      <c r="M102" s="877"/>
      <c r="N102" s="877"/>
    </row>
    <row r="103" spans="1:14" ht="15">
      <c r="A103" s="29">
        <f aca="true" t="shared" si="0" ref="A103:A110">+A102+1</f>
        <v>54</v>
      </c>
      <c r="B103" s="29"/>
      <c r="C103" s="26" t="s">
        <v>224</v>
      </c>
      <c r="D103" s="27"/>
      <c r="E103" s="197"/>
      <c r="F103" s="11" t="s">
        <v>268</v>
      </c>
      <c r="G103" s="54"/>
      <c r="H103" s="11">
        <f>'5 - Cost Support'!G31</f>
        <v>75680</v>
      </c>
      <c r="J103" s="952"/>
      <c r="K103" s="876"/>
      <c r="L103" s="877"/>
      <c r="M103" s="877"/>
      <c r="N103" s="877"/>
    </row>
    <row r="104" spans="1:14" s="55" customFormat="1" ht="15.75">
      <c r="A104" s="29">
        <f>A103+1</f>
        <v>55</v>
      </c>
      <c r="B104" s="77"/>
      <c r="C104" s="26" t="s">
        <v>520</v>
      </c>
      <c r="D104" s="11"/>
      <c r="E104" s="100"/>
      <c r="F104" s="26" t="s">
        <v>632</v>
      </c>
      <c r="G104" s="54"/>
      <c r="H104" s="555">
        <v>791522</v>
      </c>
      <c r="J104" s="995"/>
      <c r="K104" s="876"/>
      <c r="L104" s="877"/>
      <c r="M104" s="877"/>
      <c r="N104" s="877"/>
    </row>
    <row r="105" spans="1:14" ht="15">
      <c r="A105" s="29">
        <f t="shared" si="0"/>
        <v>56</v>
      </c>
      <c r="B105" s="77"/>
      <c r="C105" s="26" t="s">
        <v>521</v>
      </c>
      <c r="D105" s="11"/>
      <c r="E105" s="197" t="str">
        <f>"(Note "&amp;B$262&amp;")"</f>
        <v>(Note E)</v>
      </c>
      <c r="F105" s="26" t="s">
        <v>612</v>
      </c>
      <c r="G105" s="54"/>
      <c r="H105" s="555">
        <v>6186575</v>
      </c>
      <c r="J105" s="877"/>
      <c r="K105" s="876"/>
      <c r="L105" s="877"/>
      <c r="M105" s="877"/>
      <c r="N105" s="877"/>
    </row>
    <row r="106" spans="1:14" ht="15">
      <c r="A106" s="29">
        <f t="shared" si="0"/>
        <v>57</v>
      </c>
      <c r="B106" s="77"/>
      <c r="C106" s="26" t="s">
        <v>522</v>
      </c>
      <c r="D106" s="11"/>
      <c r="E106" s="100"/>
      <c r="F106" s="26" t="s">
        <v>613</v>
      </c>
      <c r="G106" s="54"/>
      <c r="H106" s="555">
        <v>0</v>
      </c>
      <c r="J106" s="877"/>
      <c r="K106" s="876"/>
      <c r="L106" s="877"/>
      <c r="M106" s="877"/>
      <c r="N106" s="877"/>
    </row>
    <row r="107" spans="1:14" ht="15">
      <c r="A107" s="29">
        <f t="shared" si="0"/>
        <v>58</v>
      </c>
      <c r="B107" s="77"/>
      <c r="C107" s="26" t="s">
        <v>509</v>
      </c>
      <c r="D107" s="55"/>
      <c r="E107" s="197" t="str">
        <f>"(Note "&amp;B$261&amp;")"</f>
        <v>(Note D)</v>
      </c>
      <c r="F107" s="111" t="s">
        <v>603</v>
      </c>
      <c r="G107" s="54"/>
      <c r="H107" s="555">
        <v>0</v>
      </c>
      <c r="J107" s="877"/>
      <c r="K107" s="876"/>
      <c r="L107" s="877"/>
      <c r="M107" s="877"/>
      <c r="N107" s="877"/>
    </row>
    <row r="108" spans="1:14" ht="15.75">
      <c r="A108" s="29">
        <f t="shared" si="0"/>
        <v>59</v>
      </c>
      <c r="B108" s="77"/>
      <c r="C108" s="915" t="s">
        <v>40</v>
      </c>
      <c r="D108" s="56"/>
      <c r="E108" s="176"/>
      <c r="F108" s="664" t="str">
        <f>"Sum (Lines "&amp;A100&amp;" + "&amp;A102&amp;") - Line "&amp;A101&amp;" - Sum (Lines "&amp;A103&amp;" to "&amp;A107&amp;")"</f>
        <v>Sum (Lines 51 + 53) - Line 52 - Sum (Lines 54 to 58)</v>
      </c>
      <c r="G108" s="56"/>
      <c r="H108" s="34">
        <f>SUM(H100+H102)-SUM(H101+H103+H104+H105+H106+H107)</f>
        <v>188806727</v>
      </c>
      <c r="J108" s="889"/>
      <c r="K108" s="876"/>
      <c r="L108" s="877"/>
      <c r="M108" s="877"/>
      <c r="N108" s="877"/>
    </row>
    <row r="109" spans="1:14" ht="15.75">
      <c r="A109" s="29">
        <f t="shared" si="0"/>
        <v>60</v>
      </c>
      <c r="B109" s="77"/>
      <c r="C109" s="343" t="s">
        <v>591</v>
      </c>
      <c r="D109" s="66"/>
      <c r="F109" s="196" t="str">
        <f>"(Line "&amp;A$15&amp;")"</f>
        <v>(Line 5)</v>
      </c>
      <c r="G109" s="62"/>
      <c r="H109" s="64">
        <f>H15</f>
        <v>0.09918079240879704</v>
      </c>
      <c r="J109" s="877"/>
      <c r="K109" s="876"/>
      <c r="L109" s="877"/>
      <c r="M109" s="877"/>
      <c r="N109" s="877"/>
    </row>
    <row r="110" spans="1:14" ht="15.75">
      <c r="A110" s="29">
        <f t="shared" si="0"/>
        <v>61</v>
      </c>
      <c r="B110" s="77"/>
      <c r="C110" s="39" t="s">
        <v>41</v>
      </c>
      <c r="D110" s="56"/>
      <c r="E110" s="169"/>
      <c r="F110" s="42" t="str">
        <f>"(Line "&amp;A108&amp;" * Line "&amp;A109&amp;")"</f>
        <v>(Line 59 * Line 60)</v>
      </c>
      <c r="G110" s="60"/>
      <c r="H110" s="258">
        <f>H108*H109</f>
        <v>18726000.795971416</v>
      </c>
      <c r="J110" s="877"/>
      <c r="K110" s="876"/>
      <c r="L110" s="877"/>
      <c r="M110" s="877"/>
      <c r="N110" s="877"/>
    </row>
    <row r="111" spans="1:14" ht="15.75">
      <c r="A111" s="29"/>
      <c r="B111" s="77"/>
      <c r="C111" s="49"/>
      <c r="D111" s="80"/>
      <c r="E111" s="21"/>
      <c r="F111" s="63"/>
      <c r="G111" s="63"/>
      <c r="H111" s="25"/>
      <c r="J111" s="877"/>
      <c r="K111" s="876"/>
      <c r="L111" s="877"/>
      <c r="M111" s="877"/>
      <c r="N111" s="877"/>
    </row>
    <row r="112" spans="1:14" ht="15.75">
      <c r="A112" s="29"/>
      <c r="B112" s="24" t="s">
        <v>376</v>
      </c>
      <c r="C112" s="55"/>
      <c r="D112" s="80"/>
      <c r="E112" s="21"/>
      <c r="F112" s="63"/>
      <c r="G112" s="63"/>
      <c r="H112" s="25"/>
      <c r="J112" s="877"/>
      <c r="K112" s="876"/>
      <c r="L112" s="877"/>
      <c r="M112" s="877"/>
      <c r="N112" s="877"/>
    </row>
    <row r="113" spans="1:14" ht="15">
      <c r="A113" s="29">
        <f>+A110+1</f>
        <v>62</v>
      </c>
      <c r="B113" s="52"/>
      <c r="C113" s="53" t="s">
        <v>523</v>
      </c>
      <c r="D113" s="171"/>
      <c r="E113" s="197" t="str">
        <f>"(Note "&amp;B$264&amp;")"</f>
        <v>(Note G)</v>
      </c>
      <c r="F113" s="11" t="s">
        <v>268</v>
      </c>
      <c r="G113" s="55"/>
      <c r="H113" s="19">
        <f>'5 - Cost Support'!H39</f>
        <v>0</v>
      </c>
      <c r="J113" s="890"/>
      <c r="K113" s="876"/>
      <c r="L113" s="877"/>
      <c r="M113" s="877"/>
      <c r="N113" s="877"/>
    </row>
    <row r="114" spans="1:14" ht="15">
      <c r="A114" s="6">
        <f>+A113+1</f>
        <v>63</v>
      </c>
      <c r="B114" s="52"/>
      <c r="C114" s="150" t="s">
        <v>524</v>
      </c>
      <c r="D114" s="199"/>
      <c r="E114" s="200" t="str">
        <f>"(Note "&amp;B$280&amp;")"</f>
        <v>(Note K)</v>
      </c>
      <c r="F114" s="111" t="s">
        <v>268</v>
      </c>
      <c r="G114" s="519"/>
      <c r="H114" s="931">
        <f>'5 - Cost Support'!G45</f>
        <v>0</v>
      </c>
      <c r="J114" s="890"/>
      <c r="K114" s="876"/>
      <c r="L114" s="877"/>
      <c r="M114" s="877"/>
      <c r="N114" s="877"/>
    </row>
    <row r="115" spans="1:14" ht="15.75">
      <c r="A115" s="6">
        <f>+A114+1</f>
        <v>64</v>
      </c>
      <c r="B115" s="52"/>
      <c r="C115" s="478" t="s">
        <v>604</v>
      </c>
      <c r="D115" s="54"/>
      <c r="E115" s="165"/>
      <c r="F115" s="42" t="str">
        <f>"(Line "&amp;A113&amp;" + Line "&amp;A114&amp;")"</f>
        <v>(Line 62 + Line 63)</v>
      </c>
      <c r="G115" s="55"/>
      <c r="H115" s="491">
        <f>SUM(H113:H114)</f>
        <v>0</v>
      </c>
      <c r="J115" s="877"/>
      <c r="K115" s="876"/>
      <c r="L115" s="877"/>
      <c r="M115" s="877"/>
      <c r="N115" s="877"/>
    </row>
    <row r="116" spans="1:14" ht="15.75">
      <c r="A116" s="29"/>
      <c r="B116" s="52"/>
      <c r="C116" s="53"/>
      <c r="D116" s="54"/>
      <c r="E116" s="165"/>
      <c r="F116" s="53"/>
      <c r="G116" s="55"/>
      <c r="H116" s="149"/>
      <c r="J116" s="877"/>
      <c r="K116" s="876"/>
      <c r="L116" s="877"/>
      <c r="M116" s="877"/>
      <c r="N116" s="877"/>
    </row>
    <row r="117" spans="1:14" ht="15">
      <c r="A117" s="31">
        <f>+A115+1</f>
        <v>65</v>
      </c>
      <c r="B117" s="52"/>
      <c r="C117" s="53" t="s">
        <v>525</v>
      </c>
      <c r="D117" s="54"/>
      <c r="E117" s="197" t="str">
        <f>"(Note "&amp;B$264&amp;")"</f>
        <v>(Note G)</v>
      </c>
      <c r="F117" s="11" t="s">
        <v>268</v>
      </c>
      <c r="G117" s="55"/>
      <c r="H117" s="19">
        <f>'5 - Cost Support'!I32</f>
        <v>791522</v>
      </c>
      <c r="J117" s="877"/>
      <c r="K117" s="876"/>
      <c r="L117" s="877"/>
      <c r="M117" s="877"/>
      <c r="N117" s="877"/>
    </row>
    <row r="118" spans="1:14" ht="15">
      <c r="A118" s="6">
        <f>+A117+1</f>
        <v>66</v>
      </c>
      <c r="B118" s="52"/>
      <c r="C118" s="53" t="s">
        <v>524</v>
      </c>
      <c r="D118" s="54"/>
      <c r="E118" s="197" t="str">
        <f>"(Note "&amp;B$263&amp;")"</f>
        <v>(Note F)</v>
      </c>
      <c r="F118" s="111" t="s">
        <v>268</v>
      </c>
      <c r="G118" s="55"/>
      <c r="H118" s="931">
        <f>H106</f>
        <v>0</v>
      </c>
      <c r="J118" s="890"/>
      <c r="K118" s="876"/>
      <c r="L118" s="877"/>
      <c r="M118" s="877"/>
      <c r="N118" s="877"/>
    </row>
    <row r="119" spans="1:14" ht="15">
      <c r="A119" s="29">
        <f>+A118+1</f>
        <v>67</v>
      </c>
      <c r="B119" s="52"/>
      <c r="C119" s="520" t="s">
        <v>442</v>
      </c>
      <c r="D119" s="56"/>
      <c r="E119" s="174"/>
      <c r="F119" s="42" t="str">
        <f>"(Line "&amp;A117&amp;" + Line "&amp;A118&amp;")"</f>
        <v>(Line 65 + Line 66)</v>
      </c>
      <c r="G119" s="58"/>
      <c r="H119" s="495">
        <f>SUM(H117:H118)</f>
        <v>791522</v>
      </c>
      <c r="J119" s="877"/>
      <c r="K119" s="876"/>
      <c r="L119" s="877"/>
      <c r="M119" s="877"/>
      <c r="N119" s="877"/>
    </row>
    <row r="120" spans="1:14" ht="15.75">
      <c r="A120" s="6">
        <f>+A119+1</f>
        <v>68</v>
      </c>
      <c r="B120" s="77"/>
      <c r="C120" s="342" t="s">
        <v>469</v>
      </c>
      <c r="D120" s="66"/>
      <c r="E120" s="31"/>
      <c r="F120" s="111" t="str">
        <f>"(Line "&amp;A$30&amp;")"</f>
        <v>(Line 14)</v>
      </c>
      <c r="G120" s="62"/>
      <c r="H120" s="64">
        <f>H30</f>
        <v>0.4639235650515972</v>
      </c>
      <c r="J120" s="877"/>
      <c r="K120" s="876"/>
      <c r="L120" s="877"/>
      <c r="M120" s="877"/>
      <c r="N120" s="877"/>
    </row>
    <row r="121" spans="1:14" ht="15.75">
      <c r="A121" s="29">
        <f>+A120+1</f>
        <v>69</v>
      </c>
      <c r="B121" s="77"/>
      <c r="C121" s="39" t="s">
        <v>377</v>
      </c>
      <c r="D121" s="56"/>
      <c r="E121" s="169"/>
      <c r="F121" s="25" t="str">
        <f>"(Line "&amp;A119&amp;" * Line "&amp;A120&amp;")"</f>
        <v>(Line 67 * Line 68)</v>
      </c>
      <c r="G121" s="60"/>
      <c r="H121" s="257">
        <f>H119*H120</f>
        <v>367205.7080567703</v>
      </c>
      <c r="J121" s="877"/>
      <c r="K121" s="876"/>
      <c r="L121" s="877"/>
      <c r="M121" s="877"/>
      <c r="N121" s="877"/>
    </row>
    <row r="122" spans="1:14" ht="15.75">
      <c r="A122" s="29"/>
      <c r="B122" s="77"/>
      <c r="C122" s="24"/>
      <c r="D122" s="54"/>
      <c r="E122" s="28"/>
      <c r="F122" s="54"/>
      <c r="G122" s="54"/>
      <c r="H122" s="42"/>
      <c r="J122" s="875"/>
      <c r="K122" s="876"/>
      <c r="L122" s="877"/>
      <c r="M122" s="877"/>
      <c r="N122" s="877"/>
    </row>
    <row r="123" spans="1:14" ht="16.5" thickBot="1">
      <c r="A123" s="77">
        <f>A121+1</f>
        <v>70</v>
      </c>
      <c r="B123" s="77"/>
      <c r="C123" s="40" t="s">
        <v>464</v>
      </c>
      <c r="D123" s="117"/>
      <c r="E123" s="170"/>
      <c r="F123" s="461" t="str">
        <f>"(Lines "&amp;A97&amp;" + "&amp;A110&amp;" + "&amp;A115&amp;" + "&amp;A121&amp;" )"</f>
        <v>(Lines 50 + 61 + 64 + 69 )</v>
      </c>
      <c r="G123" s="117"/>
      <c r="H123" s="461">
        <f>H97+H110+H115+H121</f>
        <v>64871539.504028186</v>
      </c>
      <c r="J123" s="891"/>
      <c r="K123" s="876"/>
      <c r="L123" s="877"/>
      <c r="M123" s="877"/>
      <c r="N123" s="877"/>
    </row>
    <row r="124" spans="1:14" ht="16.5" thickTop="1">
      <c r="A124" s="51"/>
      <c r="B124" s="31"/>
      <c r="C124" s="24"/>
      <c r="D124" s="54"/>
      <c r="E124" s="20"/>
      <c r="F124" s="32"/>
      <c r="G124" s="32"/>
      <c r="H124" s="38"/>
      <c r="J124" s="877"/>
      <c r="K124" s="876"/>
      <c r="L124" s="877"/>
      <c r="M124" s="877"/>
      <c r="N124" s="877"/>
    </row>
    <row r="125" spans="1:14" ht="15.75">
      <c r="A125" s="121" t="s">
        <v>458</v>
      </c>
      <c r="B125" s="122"/>
      <c r="C125" s="485"/>
      <c r="D125" s="124"/>
      <c r="E125" s="181"/>
      <c r="F125" s="125"/>
      <c r="G125" s="125"/>
      <c r="H125" s="126"/>
      <c r="J125" s="877"/>
      <c r="K125" s="876"/>
      <c r="L125" s="877"/>
      <c r="M125" s="877"/>
      <c r="N125" s="877"/>
    </row>
    <row r="126" spans="1:14" ht="15.75">
      <c r="A126" s="24"/>
      <c r="B126" s="6"/>
      <c r="C126" s="24"/>
      <c r="D126" s="27"/>
      <c r="E126" s="20"/>
      <c r="F126" s="32"/>
      <c r="G126" s="32"/>
      <c r="H126" s="38"/>
      <c r="J126" s="877"/>
      <c r="K126" s="876"/>
      <c r="L126" s="877"/>
      <c r="M126" s="877"/>
      <c r="N126" s="877"/>
    </row>
    <row r="127" spans="1:14" ht="15.75">
      <c r="A127" s="93"/>
      <c r="B127" s="103" t="s">
        <v>358</v>
      </c>
      <c r="C127" s="35"/>
      <c r="D127" s="10"/>
      <c r="F127" s="104"/>
      <c r="G127" s="75"/>
      <c r="H127" s="492"/>
      <c r="J127" s="877"/>
      <c r="K127" s="876"/>
      <c r="L127" s="877"/>
      <c r="M127" s="877"/>
      <c r="N127" s="877"/>
    </row>
    <row r="128" spans="1:14" ht="15.75">
      <c r="A128" s="29">
        <f>+A123+1</f>
        <v>71</v>
      </c>
      <c r="B128" s="477"/>
      <c r="C128" s="155" t="s">
        <v>86</v>
      </c>
      <c r="D128" s="27"/>
      <c r="E128" s="197" t="str">
        <f>"(Note "&amp;B$273&amp;")"</f>
        <v>(Note J)</v>
      </c>
      <c r="F128" s="342" t="s">
        <v>268</v>
      </c>
      <c r="G128" s="55"/>
      <c r="H128" s="916">
        <f>'5 - Cost Support'!G128</f>
        <v>51893036.6</v>
      </c>
      <c r="J128" s="890"/>
      <c r="K128" s="876"/>
      <c r="L128" s="877"/>
      <c r="M128" s="877"/>
      <c r="N128" s="877"/>
    </row>
    <row r="129" spans="1:14" ht="15.75">
      <c r="A129" s="29"/>
      <c r="B129" s="477"/>
      <c r="C129" s="155"/>
      <c r="D129" s="27"/>
      <c r="E129" s="77"/>
      <c r="F129" s="53"/>
      <c r="G129" s="149"/>
      <c r="H129" s="436"/>
      <c r="J129" s="890"/>
      <c r="K129" s="876"/>
      <c r="L129" s="877"/>
      <c r="M129" s="877"/>
      <c r="N129" s="877"/>
    </row>
    <row r="130" spans="1:14" ht="15">
      <c r="A130" s="29">
        <f>+A128+1</f>
        <v>72</v>
      </c>
      <c r="B130" s="477"/>
      <c r="C130" s="342" t="s">
        <v>87</v>
      </c>
      <c r="D130" s="36"/>
      <c r="E130" s="197" t="str">
        <f>"(Note "&amp;B$273&amp;")"</f>
        <v>(Note J)</v>
      </c>
      <c r="F130" s="342" t="s">
        <v>268</v>
      </c>
      <c r="G130" s="105"/>
      <c r="H130" s="601">
        <f>'5 - Cost Support'!G132</f>
        <v>22376658.8</v>
      </c>
      <c r="J130" s="890"/>
      <c r="K130" s="876"/>
      <c r="L130" s="877"/>
      <c r="M130" s="877"/>
      <c r="N130" s="877"/>
    </row>
    <row r="131" spans="1:14" ht="15">
      <c r="A131" s="29">
        <f>A130+1</f>
        <v>73</v>
      </c>
      <c r="B131" s="477"/>
      <c r="C131" s="343" t="s">
        <v>397</v>
      </c>
      <c r="D131" s="324"/>
      <c r="E131" s="200" t="str">
        <f>"(Note "&amp;B$257&amp;")"</f>
        <v>(Note A)</v>
      </c>
      <c r="F131" s="150" t="s">
        <v>402</v>
      </c>
      <c r="G131" s="519"/>
      <c r="H131" s="559">
        <v>23054137</v>
      </c>
      <c r="J131" s="877"/>
      <c r="K131" s="876"/>
      <c r="L131" s="877"/>
      <c r="M131" s="877"/>
      <c r="N131" s="877"/>
    </row>
    <row r="132" spans="1:14" ht="15">
      <c r="A132" s="29">
        <f>+A131+1</f>
        <v>74</v>
      </c>
      <c r="B132" s="477"/>
      <c r="C132" s="342" t="s">
        <v>476</v>
      </c>
      <c r="D132" s="36"/>
      <c r="E132" s="191"/>
      <c r="F132" s="42" t="str">
        <f>"(Line "&amp;A130&amp;" + Line "&amp;A131&amp;")"</f>
        <v>(Line 72 + Line 73)</v>
      </c>
      <c r="G132" s="55"/>
      <c r="H132" s="19">
        <f>SUM(H130:H131)</f>
        <v>45430795.8</v>
      </c>
      <c r="J132" s="877"/>
      <c r="K132" s="876"/>
      <c r="L132" s="877"/>
      <c r="M132" s="877"/>
      <c r="N132" s="877"/>
    </row>
    <row r="133" spans="1:14" ht="15.75">
      <c r="A133" s="29">
        <f>+A132+1</f>
        <v>75</v>
      </c>
      <c r="B133" s="477"/>
      <c r="C133" s="343" t="s">
        <v>591</v>
      </c>
      <c r="D133" s="460"/>
      <c r="E133" s="263"/>
      <c r="F133" s="196" t="str">
        <f>"(Line "&amp;A$15&amp;")"</f>
        <v>(Line 5)</v>
      </c>
      <c r="G133" s="549"/>
      <c r="H133" s="437">
        <f>H15</f>
        <v>0.09918079240879704</v>
      </c>
      <c r="J133" s="877"/>
      <c r="K133" s="876"/>
      <c r="L133" s="877"/>
      <c r="M133" s="877"/>
      <c r="N133" s="877"/>
    </row>
    <row r="134" spans="1:14" ht="15.75">
      <c r="A134" s="29">
        <f>+A133+1</f>
        <v>76</v>
      </c>
      <c r="B134" s="477"/>
      <c r="C134" s="478" t="s">
        <v>84</v>
      </c>
      <c r="D134" s="27"/>
      <c r="E134" s="77"/>
      <c r="F134" s="42" t="str">
        <f>"(Line "&amp;A132&amp;" * Line "&amp;A133&amp;")"</f>
        <v>(Line 74 * Line 75)</v>
      </c>
      <c r="G134" s="149"/>
      <c r="H134" s="435">
        <f>H132*H133</f>
        <v>4505862.327206248</v>
      </c>
      <c r="J134" s="877"/>
      <c r="K134" s="876"/>
      <c r="L134" s="877"/>
      <c r="M134" s="877"/>
      <c r="N134" s="877"/>
    </row>
    <row r="135" spans="1:14" ht="15.75">
      <c r="A135" s="29"/>
      <c r="B135" s="477"/>
      <c r="C135" s="155"/>
      <c r="D135" s="27"/>
      <c r="E135" s="77"/>
      <c r="F135" s="42"/>
      <c r="G135" s="149"/>
      <c r="H135" s="19"/>
      <c r="J135" s="877"/>
      <c r="K135" s="876"/>
      <c r="L135" s="877"/>
      <c r="M135" s="877"/>
      <c r="N135" s="877"/>
    </row>
    <row r="136" spans="1:14" s="73" customFormat="1" ht="16.5" thickBot="1">
      <c r="A136" s="6">
        <f>A134+1</f>
        <v>77</v>
      </c>
      <c r="B136" s="482" t="s">
        <v>459</v>
      </c>
      <c r="C136" s="482"/>
      <c r="D136" s="106"/>
      <c r="E136" s="186"/>
      <c r="F136" s="41" t="str">
        <f>"(Lines "&amp;A128&amp;" + "&amp;A134&amp;")"</f>
        <v>(Lines 71 + 76)</v>
      </c>
      <c r="G136" s="102"/>
      <c r="H136" s="439">
        <f>H128+H134</f>
        <v>56398898.92720625</v>
      </c>
      <c r="I136" s="247"/>
      <c r="J136" s="891"/>
      <c r="K136" s="881"/>
      <c r="L136" s="880"/>
      <c r="M136" s="880"/>
      <c r="N136" s="880"/>
    </row>
    <row r="137" spans="1:14" ht="15.75" thickTop="1">
      <c r="A137" s="236"/>
      <c r="B137" s="10"/>
      <c r="C137" s="10"/>
      <c r="D137" s="10"/>
      <c r="J137" s="877"/>
      <c r="K137" s="876"/>
      <c r="L137" s="877"/>
      <c r="M137" s="877"/>
      <c r="N137" s="877"/>
    </row>
    <row r="138" spans="1:14" ht="15.75">
      <c r="A138" s="483" t="s">
        <v>617</v>
      </c>
      <c r="B138" s="484"/>
      <c r="C138" s="485"/>
      <c r="D138" s="486"/>
      <c r="E138" s="268"/>
      <c r="F138" s="125"/>
      <c r="G138" s="125"/>
      <c r="H138" s="126"/>
      <c r="J138" s="877"/>
      <c r="K138" s="876"/>
      <c r="L138" s="877"/>
      <c r="M138" s="877"/>
      <c r="N138" s="877"/>
    </row>
    <row r="139" spans="1:14" ht="15.75">
      <c r="A139" s="230"/>
      <c r="B139" s="6"/>
      <c r="C139" s="24"/>
      <c r="D139" s="27"/>
      <c r="E139" s="20"/>
      <c r="F139" s="32"/>
      <c r="G139" s="32"/>
      <c r="H139" s="38"/>
      <c r="J139" s="877"/>
      <c r="K139" s="876"/>
      <c r="L139" s="877"/>
      <c r="M139" s="877"/>
      <c r="N139" s="877"/>
    </row>
    <row r="140" spans="1:14" ht="15.75">
      <c r="A140" s="29">
        <f>+A136+1</f>
        <v>78</v>
      </c>
      <c r="B140" s="478" t="s">
        <v>618</v>
      </c>
      <c r="C140" s="479"/>
      <c r="D140" s="10"/>
      <c r="E140" s="197"/>
      <c r="F140" s="55" t="s">
        <v>306</v>
      </c>
      <c r="G140" s="55"/>
      <c r="H140" s="401">
        <f>'ATT 2 - Other Taxes'!G41</f>
        <v>3041661.3506467654</v>
      </c>
      <c r="I140" s="401"/>
      <c r="J140" s="890"/>
      <c r="K140" s="876"/>
      <c r="L140" s="877"/>
      <c r="M140" s="877"/>
      <c r="N140" s="877"/>
    </row>
    <row r="141" spans="1:14" ht="15">
      <c r="A141" s="100"/>
      <c r="B141" s="27"/>
      <c r="C141" s="10"/>
      <c r="D141" s="10"/>
      <c r="E141" s="31"/>
      <c r="F141" s="53"/>
      <c r="G141" s="55"/>
      <c r="J141" s="877"/>
      <c r="K141" s="876"/>
      <c r="L141" s="877"/>
      <c r="M141" s="877"/>
      <c r="N141" s="877"/>
    </row>
    <row r="142" spans="1:14" ht="16.5" thickBot="1">
      <c r="A142" s="29">
        <f>+A140+1</f>
        <v>79</v>
      </c>
      <c r="B142" s="40" t="s">
        <v>619</v>
      </c>
      <c r="C142" s="40"/>
      <c r="D142" s="106"/>
      <c r="E142" s="177"/>
      <c r="F142" s="461" t="str">
        <f>"(Line "&amp;A140&amp;")"</f>
        <v>(Line 78)</v>
      </c>
      <c r="G142" s="43"/>
      <c r="H142" s="44">
        <f>H140</f>
        <v>3041661.3506467654</v>
      </c>
      <c r="J142" s="891"/>
      <c r="K142" s="876"/>
      <c r="L142" s="877"/>
      <c r="M142" s="877"/>
      <c r="N142" s="877"/>
    </row>
    <row r="143" spans="1:14" ht="15.75" thickTop="1">
      <c r="A143" s="93"/>
      <c r="B143" s="10"/>
      <c r="C143" s="10"/>
      <c r="D143" s="10"/>
      <c r="F143" s="55"/>
      <c r="J143" s="877"/>
      <c r="K143" s="876"/>
      <c r="L143" s="877"/>
      <c r="M143" s="877"/>
      <c r="N143" s="877"/>
    </row>
    <row r="144" spans="1:14" ht="15.75">
      <c r="A144" s="483" t="s">
        <v>620</v>
      </c>
      <c r="B144" s="484"/>
      <c r="C144" s="485"/>
      <c r="D144" s="486"/>
      <c r="E144" s="181"/>
      <c r="F144" s="125"/>
      <c r="G144" s="125"/>
      <c r="H144" s="126"/>
      <c r="J144" s="877"/>
      <c r="K144" s="876"/>
      <c r="L144" s="877"/>
      <c r="M144" s="877"/>
      <c r="N144" s="877"/>
    </row>
    <row r="145" spans="1:14" ht="15.75">
      <c r="A145" s="4"/>
      <c r="B145" s="6"/>
      <c r="C145" s="24"/>
      <c r="D145" s="27"/>
      <c r="E145" s="20"/>
      <c r="F145" s="32"/>
      <c r="G145" s="32"/>
      <c r="H145" s="38"/>
      <c r="J145" s="877"/>
      <c r="K145" s="876"/>
      <c r="L145" s="877"/>
      <c r="M145" s="877"/>
      <c r="N145" s="877"/>
    </row>
    <row r="146" spans="1:14" ht="15.75">
      <c r="A146" s="29"/>
      <c r="B146" s="85" t="s">
        <v>355</v>
      </c>
      <c r="C146" s="10"/>
      <c r="D146" s="37"/>
      <c r="E146" s="21"/>
      <c r="G146" s="25"/>
      <c r="J146" s="877"/>
      <c r="K146" s="876"/>
      <c r="L146" s="877"/>
      <c r="M146" s="877"/>
      <c r="N146" s="877"/>
    </row>
    <row r="147" spans="1:14" ht="15.75">
      <c r="A147" s="29">
        <f>+A142+1</f>
        <v>80</v>
      </c>
      <c r="B147" s="85"/>
      <c r="C147" s="10" t="s">
        <v>355</v>
      </c>
      <c r="D147" s="37"/>
      <c r="E147" s="21"/>
      <c r="F147" s="664" t="s">
        <v>691</v>
      </c>
      <c r="G147" s="25"/>
      <c r="H147" s="803">
        <v>132254128</v>
      </c>
      <c r="I147" s="455"/>
      <c r="J147" s="889"/>
      <c r="K147" s="876"/>
      <c r="L147" s="877"/>
      <c r="M147" s="877"/>
      <c r="N147" s="877"/>
    </row>
    <row r="148" spans="1:14" ht="15.75">
      <c r="A148" s="29">
        <f>+A147+1</f>
        <v>81</v>
      </c>
      <c r="B148" s="29"/>
      <c r="C148" s="323" t="s">
        <v>357</v>
      </c>
      <c r="D148" s="324"/>
      <c r="E148" s="350" t="str">
        <f>"(Note "&amp;$B$285&amp;")"</f>
        <v>(Note O)</v>
      </c>
      <c r="F148" s="111" t="s">
        <v>267</v>
      </c>
      <c r="G148" s="109"/>
      <c r="H148" s="931">
        <f>'8 - Securitization'!E23</f>
        <v>0</v>
      </c>
      <c r="J148" s="889"/>
      <c r="K148" s="876"/>
      <c r="L148" s="877"/>
      <c r="M148" s="877"/>
      <c r="N148" s="877"/>
    </row>
    <row r="149" spans="1:14" ht="15.75">
      <c r="A149" s="6">
        <f>+A148+1</f>
        <v>82</v>
      </c>
      <c r="B149" s="6"/>
      <c r="C149" s="85" t="s">
        <v>355</v>
      </c>
      <c r="D149" s="37"/>
      <c r="E149" s="188"/>
      <c r="F149" s="42" t="str">
        <f>"(Line "&amp;A147&amp;" - Line "&amp;A148&amp;")"</f>
        <v>(Line 80 - Line 81)</v>
      </c>
      <c r="G149" s="25"/>
      <c r="H149" s="85">
        <f>H147-H148</f>
        <v>132254128</v>
      </c>
      <c r="J149" s="877"/>
      <c r="K149" s="876"/>
      <c r="L149" s="877"/>
      <c r="M149" s="877"/>
      <c r="N149" s="877"/>
    </row>
    <row r="150" spans="1:14" ht="15">
      <c r="A150" s="6"/>
      <c r="B150" s="6"/>
      <c r="C150" s="5"/>
      <c r="D150" s="10"/>
      <c r="E150" s="93"/>
      <c r="F150" s="27"/>
      <c r="G150" s="5"/>
      <c r="H150" s="5"/>
      <c r="J150" s="877"/>
      <c r="K150" s="876"/>
      <c r="L150" s="877"/>
      <c r="M150" s="877"/>
      <c r="N150" s="877"/>
    </row>
    <row r="151" spans="1:14" ht="15.75">
      <c r="A151" s="6">
        <f>+A149+1</f>
        <v>83</v>
      </c>
      <c r="B151" s="13" t="s">
        <v>455</v>
      </c>
      <c r="C151" s="10"/>
      <c r="D151" s="10"/>
      <c r="E151" s="20" t="s">
        <v>472</v>
      </c>
      <c r="F151" s="11" t="s">
        <v>407</v>
      </c>
      <c r="G151" s="5"/>
      <c r="H151" s="917">
        <v>0</v>
      </c>
      <c r="J151" s="877"/>
      <c r="K151" s="876"/>
      <c r="L151" s="877"/>
      <c r="M151" s="877"/>
      <c r="N151" s="877"/>
    </row>
    <row r="152" spans="1:14" ht="15">
      <c r="A152" s="6"/>
      <c r="B152" s="6"/>
      <c r="C152" s="3"/>
      <c r="D152" s="10"/>
      <c r="E152" s="20"/>
      <c r="F152" s="11"/>
      <c r="G152" s="5"/>
      <c r="H152" s="5"/>
      <c r="J152" s="877"/>
      <c r="K152" s="876"/>
      <c r="L152" s="877"/>
      <c r="M152" s="877"/>
      <c r="N152" s="877"/>
    </row>
    <row r="153" spans="1:14" ht="15.75">
      <c r="A153" s="6"/>
      <c r="B153" s="14" t="s">
        <v>346</v>
      </c>
      <c r="C153" s="10"/>
      <c r="D153" s="10"/>
      <c r="E153" s="20"/>
      <c r="F153" s="11"/>
      <c r="G153" s="5"/>
      <c r="H153" s="5"/>
      <c r="J153" s="877"/>
      <c r="K153" s="876"/>
      <c r="L153" s="877"/>
      <c r="M153" s="877"/>
      <c r="N153" s="877"/>
    </row>
    <row r="154" spans="1:14" ht="15">
      <c r="A154" s="6">
        <f>+A151+1</f>
        <v>84</v>
      </c>
      <c r="B154" s="6"/>
      <c r="C154" s="5" t="s">
        <v>478</v>
      </c>
      <c r="D154" s="5"/>
      <c r="E154" s="197"/>
      <c r="F154" s="11" t="s">
        <v>408</v>
      </c>
      <c r="G154" s="5"/>
      <c r="H154" s="555">
        <v>3119421382</v>
      </c>
      <c r="J154" s="1080"/>
      <c r="K154" s="1080"/>
      <c r="L154" s="1080"/>
      <c r="M154" s="1080"/>
      <c r="N154" s="1080"/>
    </row>
    <row r="155" spans="1:14" ht="15">
      <c r="A155" s="29">
        <f>A154+1</f>
        <v>85</v>
      </c>
      <c r="B155" s="29"/>
      <c r="C155" s="11" t="s">
        <v>574</v>
      </c>
      <c r="D155" s="11"/>
      <c r="E155" s="28"/>
      <c r="F155" s="11" t="s">
        <v>575</v>
      </c>
      <c r="G155" s="5"/>
      <c r="H155" s="555">
        <v>0</v>
      </c>
      <c r="J155" s="877"/>
      <c r="K155" s="876"/>
      <c r="L155" s="877"/>
      <c r="M155" s="877"/>
      <c r="N155" s="877"/>
    </row>
    <row r="156" spans="1:14" ht="15">
      <c r="A156" s="29">
        <f>A155+1</f>
        <v>86</v>
      </c>
      <c r="B156" s="29"/>
      <c r="C156" s="11" t="s">
        <v>399</v>
      </c>
      <c r="D156" s="11"/>
      <c r="E156" s="28"/>
      <c r="F156" s="80" t="str">
        <f>"(Line "&amp;A166&amp;")"</f>
        <v>(Line 94)</v>
      </c>
      <c r="G156" s="5"/>
      <c r="H156" s="11">
        <f>H166</f>
        <v>0</v>
      </c>
      <c r="J156" s="877"/>
      <c r="K156" s="876"/>
      <c r="L156" s="877"/>
      <c r="M156" s="877"/>
      <c r="N156" s="877"/>
    </row>
    <row r="157" spans="1:14" ht="15">
      <c r="A157" s="29">
        <f>+A156+1</f>
        <v>87</v>
      </c>
      <c r="B157" s="29"/>
      <c r="C157" s="111" t="s">
        <v>398</v>
      </c>
      <c r="D157" s="111"/>
      <c r="E157" s="521"/>
      <c r="F157" s="111" t="s">
        <v>409</v>
      </c>
      <c r="G157" s="109"/>
      <c r="H157" s="556">
        <v>109244</v>
      </c>
      <c r="J157" s="877"/>
      <c r="K157" s="876"/>
      <c r="L157" s="877"/>
      <c r="M157" s="877"/>
      <c r="N157" s="877"/>
    </row>
    <row r="158" spans="1:14" ht="15.75">
      <c r="A158" s="29">
        <f>+A157+1</f>
        <v>88</v>
      </c>
      <c r="B158" s="29"/>
      <c r="C158" s="131" t="s">
        <v>346</v>
      </c>
      <c r="D158" s="42"/>
      <c r="E158" s="172"/>
      <c r="F158" s="54" t="str">
        <f>"(Line "&amp;A154&amp;" - "&amp;A155&amp;" - "&amp;A156&amp;" - "&amp;A157&amp;")"</f>
        <v>(Line 84 - 85 - 86 - 87)</v>
      </c>
      <c r="G158" s="127"/>
      <c r="H158" s="462">
        <f>H154-H155-H156-H157</f>
        <v>3119312138</v>
      </c>
      <c r="J158" s="877"/>
      <c r="K158" s="876"/>
      <c r="L158" s="877"/>
      <c r="M158" s="877"/>
      <c r="N158" s="877"/>
    </row>
    <row r="159" spans="1:14" ht="15">
      <c r="A159" s="29"/>
      <c r="B159" s="29"/>
      <c r="C159" s="26"/>
      <c r="D159" s="27"/>
      <c r="E159" s="28"/>
      <c r="F159" s="11"/>
      <c r="G159" s="32"/>
      <c r="H159" s="5"/>
      <c r="J159" s="877"/>
      <c r="K159" s="876"/>
      <c r="L159" s="877"/>
      <c r="M159" s="877"/>
      <c r="N159" s="877"/>
    </row>
    <row r="160" spans="1:14" ht="15.75">
      <c r="A160" s="6"/>
      <c r="B160" s="14" t="s">
        <v>400</v>
      </c>
      <c r="C160" s="10"/>
      <c r="D160" s="10"/>
      <c r="E160" s="20"/>
      <c r="F160" s="11"/>
      <c r="G160" s="32"/>
      <c r="H160" s="5"/>
      <c r="J160" s="877"/>
      <c r="K160" s="876"/>
      <c r="L160" s="877"/>
      <c r="M160" s="877"/>
      <c r="N160" s="877"/>
    </row>
    <row r="161" spans="1:14" ht="15">
      <c r="A161" s="6">
        <f>+A158+1</f>
        <v>89</v>
      </c>
      <c r="B161" s="6"/>
      <c r="C161" s="3" t="s">
        <v>356</v>
      </c>
      <c r="D161" s="10"/>
      <c r="E161" s="6"/>
      <c r="F161" s="860" t="s">
        <v>561</v>
      </c>
      <c r="G161" s="32"/>
      <c r="H161" s="555">
        <v>2863750000</v>
      </c>
      <c r="J161" s="877"/>
      <c r="K161" s="876"/>
      <c r="L161" s="877"/>
      <c r="M161" s="877"/>
      <c r="N161" s="877"/>
    </row>
    <row r="162" spans="1:21" ht="15">
      <c r="A162" s="29">
        <f aca="true" t="shared" si="1" ref="A162:A168">+A161+1</f>
        <v>90</v>
      </c>
      <c r="B162" s="6"/>
      <c r="C162" s="3" t="s">
        <v>25</v>
      </c>
      <c r="D162" s="10"/>
      <c r="E162" s="28"/>
      <c r="F162" s="26" t="s">
        <v>410</v>
      </c>
      <c r="G162" s="32"/>
      <c r="H162" s="555">
        <v>42257723</v>
      </c>
      <c r="J162" s="877"/>
      <c r="K162" s="876"/>
      <c r="L162" s="877"/>
      <c r="M162" s="877"/>
      <c r="N162" s="877"/>
      <c r="O162" s="55"/>
      <c r="P162" s="55"/>
      <c r="Q162" s="55"/>
      <c r="R162" s="55"/>
      <c r="S162" s="55"/>
      <c r="T162" s="55"/>
      <c r="U162" s="55"/>
    </row>
    <row r="163" spans="1:21" ht="15">
      <c r="A163" s="29">
        <f t="shared" si="1"/>
        <v>91</v>
      </c>
      <c r="B163" s="6"/>
      <c r="C163" s="3" t="s">
        <v>26</v>
      </c>
      <c r="D163" s="10"/>
      <c r="E163" s="6"/>
      <c r="F163" s="46" t="s">
        <v>411</v>
      </c>
      <c r="G163" s="32"/>
      <c r="H163" s="555">
        <v>0</v>
      </c>
      <c r="J163" s="877"/>
      <c r="K163" s="876"/>
      <c r="L163" s="877"/>
      <c r="M163" s="877"/>
      <c r="N163" s="877"/>
      <c r="O163" s="55"/>
      <c r="P163" s="55"/>
      <c r="Q163" s="55"/>
      <c r="R163" s="55"/>
      <c r="S163" s="55"/>
      <c r="T163" s="55"/>
      <c r="U163" s="55"/>
    </row>
    <row r="164" spans="1:21" ht="15">
      <c r="A164" s="29">
        <f>+A163+1</f>
        <v>92</v>
      </c>
      <c r="B164" s="29"/>
      <c r="C164" s="325" t="s">
        <v>59</v>
      </c>
      <c r="E164" s="350" t="str">
        <f>"(Note "&amp;$B$285&amp;")"</f>
        <v>(Note O)</v>
      </c>
      <c r="F164" s="111" t="str">
        <f>+F148</f>
        <v>Attachment 8</v>
      </c>
      <c r="G164" s="32"/>
      <c r="H164" s="555">
        <f>'8 - Securitization'!E26</f>
        <v>0</v>
      </c>
      <c r="J164" s="877"/>
      <c r="K164" s="876"/>
      <c r="L164" s="877"/>
      <c r="M164" s="877"/>
      <c r="N164" s="877"/>
      <c r="O164" s="55"/>
      <c r="P164" s="55"/>
      <c r="Q164" s="55"/>
      <c r="R164" s="55"/>
      <c r="S164" s="55"/>
      <c r="T164" s="55"/>
      <c r="U164" s="55"/>
    </row>
    <row r="165" spans="1:21" ht="15">
      <c r="A165" s="29">
        <f>+A164+1</f>
        <v>93</v>
      </c>
      <c r="B165" s="29"/>
      <c r="C165" s="47" t="s">
        <v>352</v>
      </c>
      <c r="D165" s="392"/>
      <c r="E165" s="173"/>
      <c r="F165" s="54" t="str">
        <f>"(Line "&amp;A161&amp;" - "&amp;A162&amp;" + "&amp;A163&amp;" - "&amp;A164&amp;")"</f>
        <v>(Line 89 - 90 + 91 - 92)</v>
      </c>
      <c r="G165" s="56"/>
      <c r="H165" s="59">
        <f>H161-H162+H163-H164</f>
        <v>2821492277</v>
      </c>
      <c r="J165" s="877"/>
      <c r="K165" s="876"/>
      <c r="L165" s="877"/>
      <c r="M165" s="877"/>
      <c r="N165" s="877"/>
      <c r="O165" s="55"/>
      <c r="P165" s="55"/>
      <c r="Q165" s="55"/>
      <c r="R165" s="55"/>
      <c r="S165" s="55"/>
      <c r="T165" s="55"/>
      <c r="U165" s="55"/>
    </row>
    <row r="166" spans="1:14" ht="15">
      <c r="A166" s="6">
        <f t="shared" si="1"/>
        <v>94</v>
      </c>
      <c r="B166" s="6"/>
      <c r="C166" s="3" t="s">
        <v>368</v>
      </c>
      <c r="D166" s="10"/>
      <c r="E166" s="6"/>
      <c r="F166" s="26" t="s">
        <v>419</v>
      </c>
      <c r="G166" s="32"/>
      <c r="H166" s="555">
        <v>0</v>
      </c>
      <c r="J166" s="877"/>
      <c r="K166" s="876"/>
      <c r="L166" s="877"/>
      <c r="M166" s="877"/>
      <c r="N166" s="877"/>
    </row>
    <row r="167" spans="1:14" ht="15">
      <c r="A167" s="6">
        <f t="shared" si="1"/>
        <v>95</v>
      </c>
      <c r="B167" s="6"/>
      <c r="C167" s="3" t="s">
        <v>346</v>
      </c>
      <c r="D167" s="10"/>
      <c r="F167" s="111" t="str">
        <f>"(Line "&amp;A158&amp;")"</f>
        <v>(Line 88)</v>
      </c>
      <c r="G167" s="32"/>
      <c r="H167" s="25">
        <f>H158</f>
        <v>3119312138</v>
      </c>
      <c r="J167" s="877"/>
      <c r="K167" s="876"/>
      <c r="L167" s="877"/>
      <c r="M167" s="877"/>
      <c r="N167" s="877"/>
    </row>
    <row r="168" spans="1:14" ht="15.75">
      <c r="A168" s="6">
        <f t="shared" si="1"/>
        <v>96</v>
      </c>
      <c r="B168" s="6"/>
      <c r="C168" s="39" t="s">
        <v>351</v>
      </c>
      <c r="D168" s="487"/>
      <c r="E168" s="174"/>
      <c r="F168" s="42" t="str">
        <f>"(Sum Lines "&amp;A165&amp;" to "&amp;A167&amp;")"</f>
        <v>(Sum Lines 93 to 95)</v>
      </c>
      <c r="G168" s="34"/>
      <c r="H168" s="258">
        <f>SUM(H165:H167)</f>
        <v>5940804415</v>
      </c>
      <c r="J168" s="877"/>
      <c r="K168" s="876"/>
      <c r="L168" s="877"/>
      <c r="M168" s="877"/>
      <c r="N168" s="877"/>
    </row>
    <row r="169" spans="1:14" ht="15">
      <c r="A169" s="6"/>
      <c r="B169" s="6"/>
      <c r="C169" s="3"/>
      <c r="D169" s="10"/>
      <c r="F169" s="55"/>
      <c r="G169" s="5"/>
      <c r="H169" s="20"/>
      <c r="J169" s="877"/>
      <c r="K169" s="876"/>
      <c r="L169" s="877"/>
      <c r="M169" s="877"/>
      <c r="N169" s="877"/>
    </row>
    <row r="170" spans="1:14" ht="15">
      <c r="A170" s="29">
        <f>+A168+1</f>
        <v>97</v>
      </c>
      <c r="B170" s="6"/>
      <c r="C170" s="157" t="s">
        <v>528</v>
      </c>
      <c r="D170" s="46" t="s">
        <v>352</v>
      </c>
      <c r="E170" s="197"/>
      <c r="F170" s="42" t="str">
        <f>"(Line "&amp;A165&amp;" / Line "&amp;A168&amp;")"</f>
        <v>(Line 93 / Line 96)</v>
      </c>
      <c r="G170" s="5"/>
      <c r="H170" s="449">
        <f>H165/H168</f>
        <v>0.47493438260246107</v>
      </c>
      <c r="J170" s="877"/>
      <c r="K170" s="876"/>
      <c r="L170" s="877"/>
      <c r="M170" s="877"/>
      <c r="N170" s="877"/>
    </row>
    <row r="171" spans="1:14" ht="15">
      <c r="A171" s="29">
        <f>+A170+1</f>
        <v>98</v>
      </c>
      <c r="B171" s="6"/>
      <c r="C171" s="157" t="s">
        <v>535</v>
      </c>
      <c r="D171" s="3" t="s">
        <v>368</v>
      </c>
      <c r="E171" s="197"/>
      <c r="F171" s="42" t="str">
        <f>"(Line "&amp;A166&amp;" / Line "&amp;A168&amp;")"</f>
        <v>(Line 94 / Line 96)</v>
      </c>
      <c r="G171" s="5"/>
      <c r="H171" s="444">
        <f>H166/H168</f>
        <v>0</v>
      </c>
      <c r="J171" s="877"/>
      <c r="K171" s="876"/>
      <c r="L171" s="877"/>
      <c r="M171" s="877"/>
      <c r="N171" s="877"/>
    </row>
    <row r="172" spans="1:21" ht="15">
      <c r="A172" s="29">
        <f>+A171+1</f>
        <v>99</v>
      </c>
      <c r="B172" s="6"/>
      <c r="C172" s="157" t="s">
        <v>529</v>
      </c>
      <c r="D172" s="3" t="s">
        <v>346</v>
      </c>
      <c r="E172" s="197"/>
      <c r="F172" s="42" t="str">
        <f>"(Line "&amp;A167&amp;" / Line "&amp;A168&amp;")"</f>
        <v>(Line 95 / Line 96)</v>
      </c>
      <c r="G172" s="5"/>
      <c r="H172" s="449">
        <f>H167/H168</f>
        <v>0.5250656173975389</v>
      </c>
      <c r="J172" s="877"/>
      <c r="K172" s="876"/>
      <c r="L172" s="877"/>
      <c r="M172" s="877"/>
      <c r="N172" s="877"/>
      <c r="O172" s="55"/>
      <c r="P172" s="55"/>
      <c r="Q172" s="55"/>
      <c r="R172" s="55"/>
      <c r="S172" s="55"/>
      <c r="T172" s="55"/>
      <c r="U172" s="55"/>
    </row>
    <row r="173" spans="1:21" ht="15">
      <c r="A173" s="29"/>
      <c r="B173" s="6"/>
      <c r="C173" s="158"/>
      <c r="D173" s="10"/>
      <c r="F173" s="11"/>
      <c r="G173" s="5"/>
      <c r="H173" s="20"/>
      <c r="J173" s="877"/>
      <c r="K173" s="876"/>
      <c r="L173" s="877"/>
      <c r="M173" s="877"/>
      <c r="N173" s="877"/>
      <c r="O173" s="55"/>
      <c r="P173" s="55"/>
      <c r="Q173" s="55"/>
      <c r="R173" s="55"/>
      <c r="S173" s="55"/>
      <c r="T173" s="55"/>
      <c r="U173" s="55"/>
    </row>
    <row r="174" spans="1:21" ht="15">
      <c r="A174" s="29">
        <f>+A172+1</f>
        <v>100</v>
      </c>
      <c r="B174" s="6"/>
      <c r="C174" s="158" t="s">
        <v>530</v>
      </c>
      <c r="D174" s="46" t="s">
        <v>352</v>
      </c>
      <c r="F174" s="42" t="str">
        <f>"(Line "&amp;A149&amp;" / Line "&amp;A165&amp;")"</f>
        <v>(Line 82 / Line 93)</v>
      </c>
      <c r="G174" s="5"/>
      <c r="H174" s="349">
        <f>H149/H165</f>
        <v>0.04687382243718968</v>
      </c>
      <c r="J174" s="890"/>
      <c r="K174" s="876"/>
      <c r="L174" s="877"/>
      <c r="M174" s="877"/>
      <c r="N174" s="877"/>
      <c r="O174" s="55"/>
      <c r="P174" s="55"/>
      <c r="Q174" s="55"/>
      <c r="R174" s="55"/>
      <c r="S174" s="55"/>
      <c r="T174" s="55"/>
      <c r="U174" s="55"/>
    </row>
    <row r="175" spans="1:21" ht="15">
      <c r="A175" s="29">
        <f>+A174+1</f>
        <v>101</v>
      </c>
      <c r="B175" s="6"/>
      <c r="C175" s="158" t="s">
        <v>536</v>
      </c>
      <c r="D175" s="3" t="s">
        <v>368</v>
      </c>
      <c r="F175" s="42" t="str">
        <f>"(Line "&amp;A151&amp;" / Line "&amp;A166&amp;")"</f>
        <v>(Line 83 / Line 94)</v>
      </c>
      <c r="G175" s="5"/>
      <c r="H175" s="22">
        <v>0</v>
      </c>
      <c r="J175" s="877"/>
      <c r="K175" s="876"/>
      <c r="L175" s="877"/>
      <c r="M175" s="877"/>
      <c r="N175" s="877"/>
      <c r="O175" s="55"/>
      <c r="P175" s="55"/>
      <c r="Q175" s="55"/>
      <c r="R175" s="55"/>
      <c r="S175" s="55"/>
      <c r="T175" s="55"/>
      <c r="U175" s="55"/>
    </row>
    <row r="176" spans="1:21" ht="15">
      <c r="A176" s="29">
        <f>+A175+1</f>
        <v>102</v>
      </c>
      <c r="B176" s="6"/>
      <c r="C176" s="158" t="s">
        <v>531</v>
      </c>
      <c r="D176" s="3" t="s">
        <v>346</v>
      </c>
      <c r="E176" s="197" t="str">
        <f>"(Note "&amp;B$273&amp;")"</f>
        <v>(Note J)</v>
      </c>
      <c r="F176" s="11" t="s">
        <v>514</v>
      </c>
      <c r="G176" s="5"/>
      <c r="H176" s="930">
        <f>0.1118+0.005</f>
        <v>0.1168</v>
      </c>
      <c r="J176" s="875"/>
      <c r="K176" s="876"/>
      <c r="L176" s="877"/>
      <c r="M176" s="877"/>
      <c r="N176" s="877"/>
      <c r="O176" s="55"/>
      <c r="P176" s="55"/>
      <c r="Q176" s="55"/>
      <c r="R176" s="55"/>
      <c r="S176" s="55"/>
      <c r="T176" s="55"/>
      <c r="U176" s="55"/>
    </row>
    <row r="177" spans="1:21" ht="15">
      <c r="A177" s="29"/>
      <c r="B177" s="6"/>
      <c r="C177" s="158"/>
      <c r="D177" s="10"/>
      <c r="F177" s="11"/>
      <c r="G177" s="5"/>
      <c r="H177" s="32"/>
      <c r="J177" s="877"/>
      <c r="K177" s="876"/>
      <c r="L177" s="877"/>
      <c r="M177" s="877"/>
      <c r="N177" s="877"/>
      <c r="O177" s="55"/>
      <c r="P177" s="55"/>
      <c r="Q177" s="55"/>
      <c r="R177" s="55"/>
      <c r="S177" s="55"/>
      <c r="T177" s="55"/>
      <c r="U177" s="55"/>
    </row>
    <row r="178" spans="1:21" ht="15">
      <c r="A178" s="29">
        <f>+A176+1</f>
        <v>103</v>
      </c>
      <c r="B178" s="6"/>
      <c r="C178" s="157" t="s">
        <v>532</v>
      </c>
      <c r="D178" s="46" t="s">
        <v>353</v>
      </c>
      <c r="F178" s="42" t="str">
        <f>"(Line "&amp;A170&amp;" * Line "&amp;A174&amp;")"</f>
        <v>(Line 97 * Line 100)</v>
      </c>
      <c r="G178" s="30"/>
      <c r="H178" s="22">
        <f>H170*H174</f>
        <v>0.022261989919424068</v>
      </c>
      <c r="J178" s="877"/>
      <c r="K178" s="876"/>
      <c r="L178" s="877"/>
      <c r="M178" s="877"/>
      <c r="N178" s="877"/>
      <c r="O178" s="55"/>
      <c r="P178" s="55"/>
      <c r="Q178" s="55"/>
      <c r="R178" s="55"/>
      <c r="S178" s="55"/>
      <c r="T178" s="55"/>
      <c r="U178" s="55"/>
    </row>
    <row r="179" spans="1:21" ht="15">
      <c r="A179" s="29">
        <f>+A178+1</f>
        <v>104</v>
      </c>
      <c r="B179" s="6"/>
      <c r="C179" s="157" t="s">
        <v>735</v>
      </c>
      <c r="D179" s="3" t="s">
        <v>368</v>
      </c>
      <c r="F179" s="42" t="str">
        <f>"(Line "&amp;A171&amp;" * Line "&amp;A175&amp;")"</f>
        <v>(Line 98 * Line 101)</v>
      </c>
      <c r="G179" s="75"/>
      <c r="H179" s="22">
        <f>H171*H175</f>
        <v>0</v>
      </c>
      <c r="J179" s="877"/>
      <c r="K179" s="876"/>
      <c r="L179" s="877"/>
      <c r="M179" s="877"/>
      <c r="N179" s="877"/>
      <c r="O179" s="55"/>
      <c r="P179" s="55"/>
      <c r="Q179" s="55"/>
      <c r="R179" s="55"/>
      <c r="S179" s="55"/>
      <c r="T179" s="55"/>
      <c r="U179" s="55"/>
    </row>
    <row r="180" spans="1:21" ht="15">
      <c r="A180" s="29">
        <f>+A179+1</f>
        <v>105</v>
      </c>
      <c r="B180" s="488"/>
      <c r="C180" s="162" t="s">
        <v>533</v>
      </c>
      <c r="D180" s="163" t="s">
        <v>346</v>
      </c>
      <c r="E180" s="185"/>
      <c r="F180" s="111" t="str">
        <f>"(Line "&amp;A172&amp;" * Line "&amp;A176&amp;")"</f>
        <v>(Line 99 * Line 102)</v>
      </c>
      <c r="G180" s="110"/>
      <c r="H180" s="164">
        <f>H172*H176</f>
        <v>0.06132766411203254</v>
      </c>
      <c r="J180" s="877"/>
      <c r="K180" s="876"/>
      <c r="L180" s="877"/>
      <c r="M180" s="877"/>
      <c r="N180" s="877"/>
      <c r="O180" s="55"/>
      <c r="P180" s="55"/>
      <c r="Q180" s="55"/>
      <c r="R180" s="55"/>
      <c r="S180" s="55"/>
      <c r="T180" s="55"/>
      <c r="U180" s="55"/>
    </row>
    <row r="181" spans="1:21" s="1" customFormat="1" ht="15.75">
      <c r="A181" s="6">
        <f>+A180+1</f>
        <v>106</v>
      </c>
      <c r="B181" s="84" t="s">
        <v>538</v>
      </c>
      <c r="C181" s="84"/>
      <c r="D181" s="128"/>
      <c r="E181" s="189"/>
      <c r="F181" s="42" t="str">
        <f>"(Sum Lines "&amp;A178&amp;" to "&amp;A180&amp;")"</f>
        <v>(Sum Lines 103 to 105)</v>
      </c>
      <c r="G181" s="86"/>
      <c r="H181" s="76">
        <f>SUM(H178:H180)</f>
        <v>0.0835896540314566</v>
      </c>
      <c r="I181" s="213"/>
      <c r="J181" s="892"/>
      <c r="K181" s="892"/>
      <c r="L181" s="887"/>
      <c r="M181" s="887"/>
      <c r="N181" s="887"/>
      <c r="O181" s="213"/>
      <c r="P181" s="213"/>
      <c r="Q181" s="213"/>
      <c r="R181" s="213"/>
      <c r="S181" s="213"/>
      <c r="T181" s="213"/>
      <c r="U181" s="213"/>
    </row>
    <row r="182" spans="1:21" s="1" customFormat="1" ht="15.75">
      <c r="A182" s="12"/>
      <c r="B182" s="12"/>
      <c r="C182" s="84"/>
      <c r="D182" s="128"/>
      <c r="E182" s="189"/>
      <c r="F182" s="131"/>
      <c r="G182" s="86"/>
      <c r="H182" s="76"/>
      <c r="I182" s="213"/>
      <c r="J182" s="887"/>
      <c r="K182" s="892"/>
      <c r="L182" s="887"/>
      <c r="M182" s="887"/>
      <c r="N182" s="887"/>
      <c r="O182" s="213"/>
      <c r="P182" s="213"/>
      <c r="Q182" s="213"/>
      <c r="R182" s="213"/>
      <c r="S182" s="213"/>
      <c r="T182" s="213"/>
      <c r="U182" s="213"/>
    </row>
    <row r="183" spans="1:14" ht="16.5" thickBot="1">
      <c r="A183" s="6">
        <f>+A181+1</f>
        <v>107</v>
      </c>
      <c r="B183" s="112" t="s">
        <v>453</v>
      </c>
      <c r="C183" s="489"/>
      <c r="D183" s="106"/>
      <c r="E183" s="190"/>
      <c r="F183" s="461" t="str">
        <f>"(Line "&amp;A89&amp;" * Line "&amp;A181&amp;")"</f>
        <v>(Line 46 * Line 106)</v>
      </c>
      <c r="G183" s="113"/>
      <c r="H183" s="41">
        <f>H89*H181</f>
        <v>221350344.13330317</v>
      </c>
      <c r="J183" s="891"/>
      <c r="K183" s="876"/>
      <c r="L183" s="877"/>
      <c r="M183" s="877"/>
      <c r="N183" s="877"/>
    </row>
    <row r="184" spans="1:14" ht="15.75" thickTop="1">
      <c r="A184" s="6"/>
      <c r="B184" s="31"/>
      <c r="C184" s="3"/>
      <c r="F184" s="5"/>
      <c r="G184" s="5"/>
      <c r="H184" s="22"/>
      <c r="J184" s="877"/>
      <c r="K184" s="876"/>
      <c r="L184" s="877"/>
      <c r="M184" s="877"/>
      <c r="N184" s="877"/>
    </row>
    <row r="185" spans="1:14" ht="15.75">
      <c r="A185" s="121" t="s">
        <v>194</v>
      </c>
      <c r="B185" s="122"/>
      <c r="C185" s="485"/>
      <c r="D185" s="124"/>
      <c r="E185" s="268"/>
      <c r="F185" s="125"/>
      <c r="G185" s="125"/>
      <c r="H185" s="126"/>
      <c r="J185" s="877"/>
      <c r="K185" s="876"/>
      <c r="L185" s="877"/>
      <c r="M185" s="877"/>
      <c r="N185" s="877"/>
    </row>
    <row r="186" spans="1:14" ht="15.75">
      <c r="A186" s="53"/>
      <c r="B186" s="31"/>
      <c r="C186" s="24"/>
      <c r="D186" s="54"/>
      <c r="E186" s="20"/>
      <c r="F186" s="32"/>
      <c r="G186" s="32"/>
      <c r="H186" s="38"/>
      <c r="J186" s="877"/>
      <c r="K186" s="876"/>
      <c r="L186" s="877"/>
      <c r="M186" s="877"/>
      <c r="N186" s="877"/>
    </row>
    <row r="187" spans="1:14" ht="15.75">
      <c r="A187" s="31" t="s">
        <v>363</v>
      </c>
      <c r="B187" s="133" t="s">
        <v>454</v>
      </c>
      <c r="C187" s="10"/>
      <c r="E187" s="20"/>
      <c r="F187" s="5"/>
      <c r="G187" s="17"/>
      <c r="H187" s="32"/>
      <c r="J187" s="877"/>
      <c r="K187" s="876"/>
      <c r="L187" s="877"/>
      <c r="M187" s="877"/>
      <c r="N187" s="877"/>
    </row>
    <row r="188" spans="1:14" ht="15">
      <c r="A188" s="31">
        <f>+A183+1</f>
        <v>108</v>
      </c>
      <c r="B188" s="31"/>
      <c r="C188" s="10" t="s">
        <v>452</v>
      </c>
      <c r="E188" s="197" t="str">
        <f>"(Note "&amp;B$267&amp;")"</f>
        <v>(Note I)</v>
      </c>
      <c r="F188" s="32"/>
      <c r="G188" s="33"/>
      <c r="H188" s="560">
        <v>0.35</v>
      </c>
      <c r="J188" s="877"/>
      <c r="K188" s="876"/>
      <c r="L188" s="877"/>
      <c r="M188" s="877"/>
      <c r="N188" s="877"/>
    </row>
    <row r="189" spans="1:14" ht="15">
      <c r="A189" s="31">
        <f>+A188+1</f>
        <v>109</v>
      </c>
      <c r="B189" s="31"/>
      <c r="C189" s="515" t="s">
        <v>451</v>
      </c>
      <c r="D189" s="23"/>
      <c r="F189" s="32"/>
      <c r="G189" s="33"/>
      <c r="H189" s="560">
        <v>0.0999</v>
      </c>
      <c r="J189" s="877"/>
      <c r="K189" s="876"/>
      <c r="L189" s="877"/>
      <c r="M189" s="877"/>
      <c r="N189" s="877"/>
    </row>
    <row r="190" spans="1:14" ht="15">
      <c r="A190" s="31">
        <f>+A189+1</f>
        <v>110</v>
      </c>
      <c r="B190" s="31"/>
      <c r="C190" s="515" t="s">
        <v>510</v>
      </c>
      <c r="D190" s="33" t="s">
        <v>511</v>
      </c>
      <c r="F190" s="32" t="s">
        <v>60</v>
      </c>
      <c r="G190" s="33"/>
      <c r="H190" s="560">
        <v>0</v>
      </c>
      <c r="J190" s="877"/>
      <c r="K190" s="876"/>
      <c r="L190" s="877"/>
      <c r="M190" s="877"/>
      <c r="N190" s="877"/>
    </row>
    <row r="191" spans="1:14" ht="15">
      <c r="A191" s="77">
        <f>+A190+1</f>
        <v>111</v>
      </c>
      <c r="B191" s="77"/>
      <c r="C191" s="515" t="s">
        <v>515</v>
      </c>
      <c r="D191" s="464" t="s">
        <v>526</v>
      </c>
      <c r="E191" s="94"/>
      <c r="F191" s="54"/>
      <c r="G191" s="33"/>
      <c r="H191" s="18">
        <f>1-(((1-H189)*(1-H188))/(1-H189*H188*H190))</f>
        <v>0.41493499999999994</v>
      </c>
      <c r="J191" s="877"/>
      <c r="K191" s="876"/>
      <c r="L191" s="877"/>
      <c r="M191" s="877"/>
      <c r="N191" s="877"/>
    </row>
    <row r="192" spans="1:14" ht="15">
      <c r="A192" s="94">
        <f>A191+1</f>
        <v>112</v>
      </c>
      <c r="B192" s="2"/>
      <c r="C192" s="515" t="s">
        <v>479</v>
      </c>
      <c r="D192" s="2"/>
      <c r="E192" s="2"/>
      <c r="F192" s="2"/>
      <c r="G192" s="2"/>
      <c r="H192" s="550">
        <f>H191/(1-H191)</f>
        <v>0.7092117969798226</v>
      </c>
      <c r="J192" s="403"/>
      <c r="K192" s="893"/>
      <c r="L192" s="403"/>
      <c r="M192" s="403"/>
      <c r="N192" s="403"/>
    </row>
    <row r="193" spans="1:14" ht="15">
      <c r="A193" s="31"/>
      <c r="B193" s="31"/>
      <c r="C193" s="10"/>
      <c r="E193" s="15"/>
      <c r="F193" s="16"/>
      <c r="G193" s="17"/>
      <c r="H193" s="18"/>
      <c r="J193" s="877"/>
      <c r="K193" s="876"/>
      <c r="L193" s="877"/>
      <c r="M193" s="877"/>
      <c r="N193" s="877"/>
    </row>
    <row r="194" spans="1:14" ht="15.75">
      <c r="A194" s="31"/>
      <c r="B194" s="133" t="s">
        <v>401</v>
      </c>
      <c r="C194" s="792"/>
      <c r="D194" s="63"/>
      <c r="F194" s="42"/>
      <c r="G194" s="793"/>
      <c r="H194" s="794"/>
      <c r="J194" s="877"/>
      <c r="K194" s="876"/>
      <c r="L194" s="877"/>
      <c r="M194" s="877"/>
      <c r="N194" s="877"/>
    </row>
    <row r="195" spans="1:14" ht="15">
      <c r="A195" s="31">
        <f>A192+1</f>
        <v>113</v>
      </c>
      <c r="B195" s="31"/>
      <c r="C195" s="46" t="s">
        <v>448</v>
      </c>
      <c r="D195" s="63"/>
      <c r="E195" s="197"/>
      <c r="F195" s="42" t="s">
        <v>268</v>
      </c>
      <c r="G195" s="793"/>
      <c r="H195" s="42">
        <f>'5 - Cost Support'!H8</f>
        <v>-20102</v>
      </c>
      <c r="J195" s="875"/>
      <c r="K195" s="876"/>
      <c r="L195" s="877"/>
      <c r="M195" s="877"/>
      <c r="N195" s="877"/>
    </row>
    <row r="196" spans="1:14" ht="15.75">
      <c r="A196" s="31">
        <f>+A195+1</f>
        <v>114</v>
      </c>
      <c r="B196" s="31"/>
      <c r="C196" s="154" t="s">
        <v>98</v>
      </c>
      <c r="D196" s="80" t="s">
        <v>85</v>
      </c>
      <c r="E196" s="197"/>
      <c r="F196" s="664" t="str">
        <f>"Line "&amp;A195&amp;" * (1 / (1 - Line "&amp;A191&amp;"))"</f>
        <v>Line 113 * (1 / (1 - Line 111))</v>
      </c>
      <c r="G196" s="81"/>
      <c r="H196" s="435">
        <f>H195*(1/(1-H191))</f>
        <v>-34358.57554288839</v>
      </c>
      <c r="J196" s="877"/>
      <c r="K196" s="876"/>
      <c r="L196" s="877"/>
      <c r="M196" s="877"/>
      <c r="N196" s="877"/>
    </row>
    <row r="197" spans="1:14" ht="15.75">
      <c r="A197" s="31"/>
      <c r="B197" s="31"/>
      <c r="C197" s="10"/>
      <c r="E197" s="15"/>
      <c r="F197" s="464"/>
      <c r="G197" s="17"/>
      <c r="H197" s="217"/>
      <c r="J197" s="894"/>
      <c r="K197" s="876"/>
      <c r="L197" s="877"/>
      <c r="M197" s="877"/>
      <c r="N197" s="877"/>
    </row>
    <row r="198" spans="1:14" ht="15.75">
      <c r="A198" s="77">
        <f>+A196+1</f>
        <v>115</v>
      </c>
      <c r="B198" s="213" t="s">
        <v>471</v>
      </c>
      <c r="C198" s="325"/>
      <c r="D198" s="27" t="s">
        <v>625</v>
      </c>
      <c r="E198" s="28"/>
      <c r="F198" s="42" t="str">
        <f>"[Line "&amp;A192&amp;" * Line "&amp;A183&amp;" * (1- (Line "&amp;A178&amp;" / Line "&amp;A181&amp;"))]"</f>
        <v>[Line 112 * Line 107 * (1- (Line 103 / Line 106))]</v>
      </c>
      <c r="G198" s="54"/>
      <c r="H198" s="260">
        <f>((H192*H183*(1-(H178/H181))))</f>
        <v>115175484.56860672</v>
      </c>
      <c r="J198" s="895"/>
      <c r="K198" s="876"/>
      <c r="L198" s="877"/>
      <c r="M198" s="877"/>
      <c r="N198" s="877"/>
    </row>
    <row r="199" spans="1:14" ht="15.75">
      <c r="A199" s="31"/>
      <c r="B199" s="31"/>
      <c r="C199" s="157"/>
      <c r="D199" s="80"/>
      <c r="E199" s="191"/>
      <c r="F199" s="494"/>
      <c r="G199" s="81"/>
      <c r="H199" s="438"/>
      <c r="J199" s="894"/>
      <c r="K199" s="876"/>
      <c r="L199" s="877"/>
      <c r="M199" s="877"/>
      <c r="N199" s="877"/>
    </row>
    <row r="200" spans="1:14" ht="16.5" thickBot="1">
      <c r="A200" s="31">
        <f>+A198+1</f>
        <v>116</v>
      </c>
      <c r="B200" s="112" t="s">
        <v>342</v>
      </c>
      <c r="C200" s="112"/>
      <c r="D200" s="106"/>
      <c r="E200" s="177"/>
      <c r="F200" s="461" t="str">
        <f>"(Line "&amp;A196&amp;" + Line "&amp;A198&amp;")"</f>
        <v>(Line 114 + Line 115)</v>
      </c>
      <c r="G200" s="132"/>
      <c r="H200" s="160">
        <f>H196+H198</f>
        <v>115141125.99306384</v>
      </c>
      <c r="J200" s="896"/>
      <c r="K200" s="876"/>
      <c r="L200" s="877"/>
      <c r="M200" s="877"/>
      <c r="N200" s="877"/>
    </row>
    <row r="201" spans="1:14" ht="17.25" thickBot="1" thickTop="1">
      <c r="A201" s="31"/>
      <c r="B201" s="31"/>
      <c r="C201" s="16"/>
      <c r="F201" s="19"/>
      <c r="G201" s="8"/>
      <c r="H201" s="160"/>
      <c r="J201" s="894"/>
      <c r="K201" s="876"/>
      <c r="L201" s="877"/>
      <c r="M201" s="877"/>
      <c r="N201" s="877"/>
    </row>
    <row r="202" spans="1:14" ht="16.5" thickTop="1">
      <c r="A202" s="121" t="s">
        <v>616</v>
      </c>
      <c r="B202" s="122"/>
      <c r="C202" s="485"/>
      <c r="D202" s="124"/>
      <c r="E202" s="181"/>
      <c r="F202" s="125"/>
      <c r="G202" s="125"/>
      <c r="H202" s="126"/>
      <c r="J202" s="894"/>
      <c r="K202" s="876"/>
      <c r="L202" s="877"/>
      <c r="M202" s="877"/>
      <c r="N202" s="877"/>
    </row>
    <row r="203" spans="1:14" ht="15">
      <c r="A203" s="92"/>
      <c r="B203" s="50"/>
      <c r="C203" s="50"/>
      <c r="D203" s="50"/>
      <c r="J203" s="894"/>
      <c r="K203" s="876"/>
      <c r="L203" s="877"/>
      <c r="M203" s="877"/>
      <c r="N203" s="877"/>
    </row>
    <row r="204" spans="1:14" ht="15.75">
      <c r="A204" s="92"/>
      <c r="B204" s="1" t="s">
        <v>343</v>
      </c>
      <c r="C204" s="61"/>
      <c r="D204" s="82"/>
      <c r="J204" s="877"/>
      <c r="K204" s="876"/>
      <c r="L204" s="877"/>
      <c r="M204" s="877"/>
      <c r="N204" s="877"/>
    </row>
    <row r="205" spans="1:14" ht="15">
      <c r="A205" s="92">
        <f>+A200+1</f>
        <v>117</v>
      </c>
      <c r="B205" s="50"/>
      <c r="C205" s="61" t="s">
        <v>344</v>
      </c>
      <c r="D205" s="82"/>
      <c r="F205" s="42" t="str">
        <f>"(Line "&amp;A62&amp;")"</f>
        <v>(Line 33)</v>
      </c>
      <c r="H205" s="88">
        <f>H62</f>
        <v>3050951210.0876584</v>
      </c>
      <c r="J205" s="877"/>
      <c r="K205" s="876"/>
      <c r="L205" s="877"/>
      <c r="M205" s="877"/>
      <c r="N205" s="877"/>
    </row>
    <row r="206" spans="1:14" ht="15">
      <c r="A206" s="6">
        <f>+A205+1</f>
        <v>118</v>
      </c>
      <c r="B206" s="50"/>
      <c r="C206" s="61" t="s">
        <v>577</v>
      </c>
      <c r="D206" s="82"/>
      <c r="F206" s="111" t="str">
        <f>"(Line "&amp;A87&amp;")"</f>
        <v>(Line 45)</v>
      </c>
      <c r="H206" s="88">
        <f>H87</f>
        <v>-402892108.7782521</v>
      </c>
      <c r="J206" s="877"/>
      <c r="K206" s="876"/>
      <c r="L206" s="877"/>
      <c r="M206" s="877"/>
      <c r="N206" s="877"/>
    </row>
    <row r="207" spans="1:14" ht="15.75">
      <c r="A207" s="6">
        <f>+A206+1</f>
        <v>119</v>
      </c>
      <c r="B207" s="31"/>
      <c r="C207" s="58" t="s">
        <v>470</v>
      </c>
      <c r="D207" s="135"/>
      <c r="E207" s="192"/>
      <c r="F207" s="42" t="str">
        <f>"(Line "&amp;A89&amp;")"</f>
        <v>(Line 46)</v>
      </c>
      <c r="G207" s="136"/>
      <c r="H207" s="798">
        <f>SUM(H205:H206)</f>
        <v>2648059101.3094063</v>
      </c>
      <c r="J207" s="877"/>
      <c r="K207" s="876"/>
      <c r="L207" s="877"/>
      <c r="M207" s="877"/>
      <c r="N207" s="877"/>
    </row>
    <row r="208" spans="1:14" ht="15">
      <c r="A208" s="31"/>
      <c r="B208" s="31"/>
      <c r="C208" s="46"/>
      <c r="D208" s="80"/>
      <c r="E208" s="20"/>
      <c r="F208" s="54"/>
      <c r="G208" s="32"/>
      <c r="H208" s="88"/>
      <c r="J208" s="877"/>
      <c r="K208" s="876"/>
      <c r="L208" s="877"/>
      <c r="M208" s="877"/>
      <c r="N208" s="877"/>
    </row>
    <row r="209" spans="1:14" ht="15">
      <c r="A209" s="31">
        <f>+A207+1</f>
        <v>120</v>
      </c>
      <c r="C209" s="46" t="s">
        <v>464</v>
      </c>
      <c r="D209" s="63"/>
      <c r="F209" s="42" t="str">
        <f>"(Line "&amp;A123&amp;")"</f>
        <v>(Line 70)</v>
      </c>
      <c r="H209" s="88">
        <f>H123</f>
        <v>64871539.504028186</v>
      </c>
      <c r="J209" s="891"/>
      <c r="K209" s="876"/>
      <c r="L209" s="877"/>
      <c r="M209" s="877"/>
      <c r="N209" s="877"/>
    </row>
    <row r="210" spans="1:14" ht="15">
      <c r="A210" s="6">
        <f>+A209+1</f>
        <v>121</v>
      </c>
      <c r="C210" s="342" t="s">
        <v>459</v>
      </c>
      <c r="D210" s="63"/>
      <c r="F210" s="42" t="str">
        <f>"(Line "&amp;A136&amp;")"</f>
        <v>(Line 77)</v>
      </c>
      <c r="H210" s="88">
        <f>H136</f>
        <v>56398898.92720625</v>
      </c>
      <c r="J210" s="891"/>
      <c r="K210" s="876"/>
      <c r="L210" s="877"/>
      <c r="M210" s="877"/>
      <c r="N210" s="877"/>
    </row>
    <row r="211" spans="1:14" ht="15">
      <c r="A211" s="6">
        <f>+A210+1</f>
        <v>122</v>
      </c>
      <c r="B211" s="31"/>
      <c r="C211" s="46" t="s">
        <v>345</v>
      </c>
      <c r="D211" s="80"/>
      <c r="E211" s="20"/>
      <c r="F211" s="42" t="str">
        <f>"(Line "&amp;A142&amp;")"</f>
        <v>(Line 79)</v>
      </c>
      <c r="G211" s="32"/>
      <c r="H211" s="88">
        <f>H142</f>
        <v>3041661.3506467654</v>
      </c>
      <c r="J211" s="897"/>
      <c r="K211" s="876"/>
      <c r="L211" s="877"/>
      <c r="M211" s="877"/>
      <c r="N211" s="877"/>
    </row>
    <row r="212" spans="1:14" ht="15">
      <c r="A212" s="6">
        <f>+A211+1</f>
        <v>123</v>
      </c>
      <c r="B212" s="31"/>
      <c r="C212" s="87" t="s">
        <v>483</v>
      </c>
      <c r="D212" s="80"/>
      <c r="E212" s="20"/>
      <c r="F212" s="42" t="str">
        <f>"(Line "&amp;A183&amp;")"</f>
        <v>(Line 107)</v>
      </c>
      <c r="G212" s="32"/>
      <c r="H212" s="88">
        <f>H183</f>
        <v>221350344.13330317</v>
      </c>
      <c r="J212" s="897"/>
      <c r="K212" s="876"/>
      <c r="L212" s="877"/>
      <c r="M212" s="877"/>
      <c r="N212" s="877"/>
    </row>
    <row r="213" spans="1:14" ht="15">
      <c r="A213" s="6">
        <f>+A212+1</f>
        <v>124</v>
      </c>
      <c r="B213" s="31"/>
      <c r="C213" s="87" t="s">
        <v>484</v>
      </c>
      <c r="D213" s="80"/>
      <c r="E213" s="20"/>
      <c r="F213" s="42" t="str">
        <f>"(Line "&amp;A200&amp;")"</f>
        <v>(Line 116)</v>
      </c>
      <c r="G213" s="32"/>
      <c r="H213" s="88">
        <f>H200</f>
        <v>115141125.99306384</v>
      </c>
      <c r="J213" s="897"/>
      <c r="K213" s="876"/>
      <c r="L213" s="877"/>
      <c r="M213" s="877"/>
      <c r="N213" s="877"/>
    </row>
    <row r="214" spans="1:14" ht="15.75" thickBot="1">
      <c r="A214" s="6"/>
      <c r="B214" s="31"/>
      <c r="C214" s="87"/>
      <c r="D214" s="80"/>
      <c r="E214" s="20"/>
      <c r="F214" s="54"/>
      <c r="G214" s="32"/>
      <c r="H214" s="88"/>
      <c r="J214" s="894"/>
      <c r="K214" s="876"/>
      <c r="L214" s="877"/>
      <c r="M214" s="877"/>
      <c r="N214" s="877"/>
    </row>
    <row r="215" spans="1:14" ht="18.75" thickBot="1">
      <c r="A215" s="144">
        <f>+A213+1</f>
        <v>125</v>
      </c>
      <c r="B215" s="140"/>
      <c r="C215" s="516" t="s">
        <v>508</v>
      </c>
      <c r="D215" s="141"/>
      <c r="E215" s="193"/>
      <c r="F215" s="465" t="str">
        <f>"(Sum Lines "&amp;A209&amp;" to "&amp;A213&amp;")"</f>
        <v>(Sum Lines 120 to 124)</v>
      </c>
      <c r="G215" s="142"/>
      <c r="H215" s="143">
        <f>SUM(H209:H213)</f>
        <v>460803569.9082482</v>
      </c>
      <c r="J215" s="898"/>
      <c r="K215" s="892"/>
      <c r="L215" s="877"/>
      <c r="M215" s="877"/>
      <c r="N215" s="877"/>
    </row>
    <row r="216" spans="1:14" ht="18">
      <c r="A216" s="152"/>
      <c r="B216" s="203"/>
      <c r="C216" s="517"/>
      <c r="D216" s="204"/>
      <c r="E216" s="205"/>
      <c r="F216" s="85"/>
      <c r="G216" s="206"/>
      <c r="H216" s="207"/>
      <c r="J216" s="899"/>
      <c r="K216" s="900"/>
      <c r="L216" s="877"/>
      <c r="M216" s="877"/>
      <c r="N216" s="877"/>
    </row>
    <row r="217" spans="1:14" ht="18">
      <c r="A217" s="152"/>
      <c r="B217" s="154" t="s">
        <v>378</v>
      </c>
      <c r="C217" s="517"/>
      <c r="D217" s="204"/>
      <c r="E217" s="205"/>
      <c r="F217" s="85"/>
      <c r="G217" s="206"/>
      <c r="H217" s="207"/>
      <c r="J217" s="894"/>
      <c r="K217" s="876"/>
      <c r="L217" s="877"/>
      <c r="M217" s="877"/>
      <c r="N217" s="877"/>
    </row>
    <row r="218" spans="1:14" ht="18">
      <c r="A218" s="183">
        <f>+A215+1</f>
        <v>126</v>
      </c>
      <c r="B218" s="183"/>
      <c r="C218" s="46" t="str">
        <f>+C35</f>
        <v>Transmission Plant In Service</v>
      </c>
      <c r="D218" s="204"/>
      <c r="E218" s="205"/>
      <c r="F218" s="42" t="str">
        <f>"(Line "&amp;A35&amp;")"</f>
        <v>(Line 15)</v>
      </c>
      <c r="G218" s="206"/>
      <c r="H218" s="9">
        <f>H35</f>
        <v>3299986459</v>
      </c>
      <c r="J218" s="894"/>
      <c r="K218" s="876"/>
      <c r="L218" s="877"/>
      <c r="M218" s="877"/>
      <c r="N218" s="877"/>
    </row>
    <row r="219" spans="1:14" ht="18">
      <c r="A219" s="183">
        <f>+A218+1</f>
        <v>127</v>
      </c>
      <c r="B219" s="183"/>
      <c r="C219" s="156" t="s">
        <v>379</v>
      </c>
      <c r="D219" s="208"/>
      <c r="E219" s="200" t="str">
        <f>"(Note "&amp;B$282&amp;")"</f>
        <v>(Note M)</v>
      </c>
      <c r="F219" s="111" t="s">
        <v>268</v>
      </c>
      <c r="G219" s="599"/>
      <c r="H219" s="212">
        <f>'5 - Cost Support'!G67</f>
        <v>0</v>
      </c>
      <c r="J219" s="877"/>
      <c r="K219" s="876"/>
      <c r="L219" s="877"/>
      <c r="M219" s="877"/>
      <c r="N219" s="877"/>
    </row>
    <row r="220" spans="1:14" ht="18">
      <c r="A220" s="183">
        <f>+A219+1</f>
        <v>128</v>
      </c>
      <c r="B220" s="183"/>
      <c r="C220" s="46" t="s">
        <v>380</v>
      </c>
      <c r="D220" s="204"/>
      <c r="E220" s="210"/>
      <c r="F220" s="42" t="str">
        <f>"(Line "&amp;A218&amp;" - Line "&amp;A219&amp;")"</f>
        <v>(Line 126 - Line 127)</v>
      </c>
      <c r="G220" s="206"/>
      <c r="H220" s="9">
        <f>H218-H219</f>
        <v>3299986459</v>
      </c>
      <c r="J220" s="877"/>
      <c r="K220" s="876"/>
      <c r="L220" s="877"/>
      <c r="M220" s="877"/>
      <c r="N220" s="877"/>
    </row>
    <row r="221" spans="1:14" ht="18">
      <c r="A221" s="183">
        <f>+A220+1</f>
        <v>129</v>
      </c>
      <c r="B221" s="183"/>
      <c r="C221" s="46" t="s">
        <v>381</v>
      </c>
      <c r="D221" s="204"/>
      <c r="E221" s="205"/>
      <c r="F221" s="42" t="str">
        <f>"(Line "&amp;A220&amp;" / Line "&amp;A218&amp;")"</f>
        <v>(Line 128 / Line 126)</v>
      </c>
      <c r="G221" s="206"/>
      <c r="H221" s="211">
        <f>H220/H218</f>
        <v>1</v>
      </c>
      <c r="J221" s="877"/>
      <c r="K221" s="876"/>
      <c r="L221" s="877"/>
      <c r="M221" s="877"/>
      <c r="N221" s="877"/>
    </row>
    <row r="222" spans="1:14" ht="18">
      <c r="A222" s="183">
        <f>+A221+1</f>
        <v>130</v>
      </c>
      <c r="B222" s="183"/>
      <c r="C222" s="156" t="s">
        <v>508</v>
      </c>
      <c r="D222" s="208"/>
      <c r="E222" s="209"/>
      <c r="F222" s="111" t="str">
        <f>"(Line "&amp;A215&amp;")"</f>
        <v>(Line 125)</v>
      </c>
      <c r="G222" s="599"/>
      <c r="H222" s="212">
        <f>H215</f>
        <v>460803569.9082482</v>
      </c>
      <c r="J222" s="877"/>
      <c r="K222" s="876"/>
      <c r="L222" s="877"/>
      <c r="M222" s="877"/>
      <c r="N222" s="877"/>
    </row>
    <row r="223" spans="1:14" ht="18">
      <c r="A223" s="183">
        <f>+A222+1</f>
        <v>131</v>
      </c>
      <c r="B223" s="183"/>
      <c r="C223" s="49" t="s">
        <v>382</v>
      </c>
      <c r="D223" s="204"/>
      <c r="E223" s="205"/>
      <c r="F223" s="42" t="str">
        <f>"(Line "&amp;A221&amp;" * Line "&amp;A222&amp;")"</f>
        <v>(Line 129 * Line 130)</v>
      </c>
      <c r="G223" s="206"/>
      <c r="H223" s="215">
        <f>H221*H222</f>
        <v>460803569.9082482</v>
      </c>
      <c r="J223" s="877"/>
      <c r="K223" s="876"/>
      <c r="L223" s="877"/>
      <c r="M223" s="877"/>
      <c r="N223" s="877"/>
    </row>
    <row r="224" spans="1:14" ht="15.75">
      <c r="A224" s="230"/>
      <c r="B224" s="31"/>
      <c r="C224" s="46"/>
      <c r="D224" s="80"/>
      <c r="E224" s="20"/>
      <c r="F224" s="54"/>
      <c r="G224" s="32"/>
      <c r="H224" s="38"/>
      <c r="J224" s="877"/>
      <c r="K224" s="876"/>
      <c r="L224" s="877"/>
      <c r="M224" s="877"/>
      <c r="N224" s="877"/>
    </row>
    <row r="225" spans="1:14" ht="15.75">
      <c r="A225" s="230"/>
      <c r="B225" s="103" t="s">
        <v>347</v>
      </c>
      <c r="C225" s="46"/>
      <c r="D225" s="80"/>
      <c r="E225" s="20"/>
      <c r="F225" s="54"/>
      <c r="G225" s="32"/>
      <c r="H225" s="38"/>
      <c r="J225" s="877"/>
      <c r="K225" s="876"/>
      <c r="L225" s="877"/>
      <c r="M225" s="877"/>
      <c r="N225" s="877"/>
    </row>
    <row r="226" spans="1:14" ht="15.75">
      <c r="A226" s="77">
        <f>+A223+1</f>
        <v>132</v>
      </c>
      <c r="B226" s="50"/>
      <c r="C226" s="103" t="s">
        <v>347</v>
      </c>
      <c r="D226" s="445"/>
      <c r="E226" s="20"/>
      <c r="F226" s="54" t="s">
        <v>269</v>
      </c>
      <c r="G226" s="32"/>
      <c r="H226" s="260">
        <f>'3 - Revenue Credits'!D21</f>
        <v>107269361</v>
      </c>
      <c r="J226" s="877"/>
      <c r="K226" s="876"/>
      <c r="L226" s="877"/>
      <c r="M226" s="877"/>
      <c r="N226" s="877"/>
    </row>
    <row r="227" spans="1:14" ht="16.5" thickBot="1">
      <c r="A227" s="31"/>
      <c r="B227" s="31"/>
      <c r="C227" s="61"/>
      <c r="D227" s="61"/>
      <c r="F227" s="32"/>
      <c r="G227" s="32"/>
      <c r="H227" s="38"/>
      <c r="J227" s="901"/>
      <c r="K227" s="872"/>
      <c r="L227" s="894"/>
      <c r="M227" s="877"/>
      <c r="N227" s="877"/>
    </row>
    <row r="228" spans="1:14" s="1" customFormat="1" ht="18.75" thickBot="1">
      <c r="A228" s="144">
        <f>A226+1</f>
        <v>133</v>
      </c>
      <c r="B228" s="151"/>
      <c r="C228" s="145" t="s">
        <v>516</v>
      </c>
      <c r="D228" s="146"/>
      <c r="E228" s="194"/>
      <c r="F228" s="261" t="str">
        <f>"(Line "&amp;A223&amp;" - Line "&amp;A226&amp;")"</f>
        <v>(Line 131 - Line 132)</v>
      </c>
      <c r="G228" s="147"/>
      <c r="H228" s="551">
        <f>H223-H226</f>
        <v>353534208.9082482</v>
      </c>
      <c r="I228" s="213"/>
      <c r="J228" s="898"/>
      <c r="K228" s="902"/>
      <c r="L228" s="903"/>
      <c r="M228" s="887"/>
      <c r="N228" s="887"/>
    </row>
    <row r="229" spans="1:14" ht="15.75">
      <c r="A229" s="230"/>
      <c r="B229" s="31"/>
      <c r="C229" s="61"/>
      <c r="D229" s="61"/>
      <c r="F229" s="32"/>
      <c r="G229" s="32"/>
      <c r="H229" s="38"/>
      <c r="J229" s="904"/>
      <c r="K229" s="905"/>
      <c r="L229" s="894"/>
      <c r="M229" s="877"/>
      <c r="N229" s="877"/>
    </row>
    <row r="230" spans="1:14" ht="15.75">
      <c r="A230" s="77"/>
      <c r="B230" s="214" t="s">
        <v>727</v>
      </c>
      <c r="C230" s="325"/>
      <c r="D230" s="61"/>
      <c r="F230" s="54"/>
      <c r="G230" s="32"/>
      <c r="H230" s="38"/>
      <c r="J230" s="894"/>
      <c r="K230" s="872"/>
      <c r="L230" s="894"/>
      <c r="M230" s="877"/>
      <c r="N230" s="877"/>
    </row>
    <row r="231" spans="1:14" ht="15.75">
      <c r="A231" s="77">
        <f>+A228+1</f>
        <v>134</v>
      </c>
      <c r="B231" s="77"/>
      <c r="C231" s="61" t="str">
        <f>+C222</f>
        <v>Gross Revenue Requirement</v>
      </c>
      <c r="D231" s="61"/>
      <c r="F231" s="54" t="str">
        <f>"(Line "&amp;A222&amp;")"</f>
        <v>(Line 130)</v>
      </c>
      <c r="G231" s="32"/>
      <c r="H231" s="239">
        <f>H222</f>
        <v>460803569.9082482</v>
      </c>
      <c r="J231" s="877"/>
      <c r="K231" s="876"/>
      <c r="L231" s="877"/>
      <c r="M231" s="877"/>
      <c r="N231" s="877"/>
    </row>
    <row r="232" spans="1:14" ht="15.75">
      <c r="A232" s="77">
        <f>+A231+1</f>
        <v>135</v>
      </c>
      <c r="B232" s="77"/>
      <c r="C232" s="61" t="s">
        <v>444</v>
      </c>
      <c r="D232" s="61"/>
      <c r="F232" s="54" t="str">
        <f>"(Line "&amp;A38&amp;" - Line "&amp;A52&amp;" + Line "&amp;A70&amp;")"</f>
        <v>(Line 18 - Line 26 + Line 35)</v>
      </c>
      <c r="G232" s="54"/>
      <c r="H232" s="960">
        <f>(H38-H52)+H70</f>
        <v>2978147461.996667</v>
      </c>
      <c r="J232" s="877"/>
      <c r="K232" s="876"/>
      <c r="L232" s="877"/>
      <c r="M232" s="877"/>
      <c r="N232" s="877"/>
    </row>
    <row r="233" spans="1:14" ht="15.75">
      <c r="A233" s="77">
        <f>+A232+1</f>
        <v>136</v>
      </c>
      <c r="B233" s="77"/>
      <c r="C233" s="61" t="s">
        <v>732</v>
      </c>
      <c r="D233" s="61"/>
      <c r="F233" s="54" t="str">
        <f>"(Line "&amp;A231&amp;" / Line "&amp;A232&amp;")"</f>
        <v>(Line 134 / Line 135)</v>
      </c>
      <c r="G233" s="54"/>
      <c r="H233" s="961">
        <f>H231/H232</f>
        <v>0.15472825835135356</v>
      </c>
      <c r="J233" s="877"/>
      <c r="K233" s="900"/>
      <c r="L233" s="877"/>
      <c r="M233" s="877"/>
      <c r="N233" s="877"/>
    </row>
    <row r="234" spans="1:14" ht="15.75">
      <c r="A234" s="77">
        <f>+A233+1</f>
        <v>137</v>
      </c>
      <c r="B234" s="77"/>
      <c r="C234" s="61" t="s">
        <v>733</v>
      </c>
      <c r="D234" s="61"/>
      <c r="F234" s="466" t="str">
        <f>"(Line "&amp;A231&amp;" - Line "&amp;A128&amp;") / Line "&amp;A232</f>
        <v>(Line 134 - Line 71) / Line 135</v>
      </c>
      <c r="G234" s="54"/>
      <c r="H234" s="961">
        <f>(H231-H128)/H232</f>
        <v>0.13730365555307275</v>
      </c>
      <c r="J234" s="877"/>
      <c r="K234" s="876"/>
      <c r="L234" s="877"/>
      <c r="M234" s="877"/>
      <c r="N234" s="877"/>
    </row>
    <row r="235" spans="1:14" ht="15.75">
      <c r="A235" s="77">
        <f>+A234+1</f>
        <v>138</v>
      </c>
      <c r="B235" s="77"/>
      <c r="C235" s="61" t="s">
        <v>734</v>
      </c>
      <c r="D235" s="61"/>
      <c r="E235" s="94"/>
      <c r="F235" s="27" t="str">
        <f>"(Line "&amp;A231&amp;" - Line "&amp;A128&amp;" - Line "&amp;A183&amp;" - Line "&amp;A200&amp;") / Line "&amp;A232</f>
        <v>(Line 134 - Line 71 - Line 107 - Line 116) / Line 135</v>
      </c>
      <c r="G235" s="54"/>
      <c r="H235" s="961">
        <f>(H231-H128-H183-H200)/H232</f>
        <v>0.0243168157742359</v>
      </c>
      <c r="J235" s="877"/>
      <c r="K235" s="876"/>
      <c r="L235" s="877"/>
      <c r="M235" s="877"/>
      <c r="N235" s="877"/>
    </row>
    <row r="236" spans="1:14" ht="15.75">
      <c r="A236" s="77"/>
      <c r="B236" s="77"/>
      <c r="C236" s="61"/>
      <c r="D236" s="61"/>
      <c r="F236" s="54"/>
      <c r="G236" s="54"/>
      <c r="H236" s="961"/>
      <c r="J236" s="877"/>
      <c r="K236" s="876"/>
      <c r="L236" s="877"/>
      <c r="M236" s="877"/>
      <c r="N236" s="877"/>
    </row>
    <row r="237" spans="1:14" ht="15.75">
      <c r="A237" s="77"/>
      <c r="B237" s="214" t="s">
        <v>728</v>
      </c>
      <c r="C237" s="61"/>
      <c r="D237" s="61"/>
      <c r="F237" s="54"/>
      <c r="G237" s="54"/>
      <c r="H237" s="961"/>
      <c r="J237" s="877"/>
      <c r="K237" s="876"/>
      <c r="L237" s="877"/>
      <c r="M237" s="877"/>
      <c r="N237" s="877"/>
    </row>
    <row r="238" spans="1:14" ht="15.75">
      <c r="A238" s="77">
        <f>+A235+1</f>
        <v>139</v>
      </c>
      <c r="B238" s="77"/>
      <c r="C238" s="61" t="s">
        <v>445</v>
      </c>
      <c r="D238" s="61"/>
      <c r="F238" s="54" t="str">
        <f>"(Line "&amp;A222&amp;" - Line "&amp;A212&amp;" - Line "&amp;A213&amp;")"</f>
        <v>(Line 130 - Line 123 - Line 124)</v>
      </c>
      <c r="G238" s="54"/>
      <c r="H238" s="260">
        <f>H222-H212-H213</f>
        <v>124312099.78188118</v>
      </c>
      <c r="J238" s="877"/>
      <c r="K238" s="876"/>
      <c r="L238" s="877"/>
      <c r="M238" s="877"/>
      <c r="N238" s="877"/>
    </row>
    <row r="239" spans="1:14" ht="15.75">
      <c r="A239" s="77">
        <f>+A238+1</f>
        <v>140</v>
      </c>
      <c r="B239" s="77"/>
      <c r="C239" s="61" t="s">
        <v>171</v>
      </c>
      <c r="D239" s="61"/>
      <c r="F239" s="54" t="s">
        <v>270</v>
      </c>
      <c r="G239" s="54"/>
      <c r="H239" s="260">
        <f>'4 - 100 Basis Pt ROE'!I9</f>
        <v>360256432.7704184</v>
      </c>
      <c r="J239" s="877"/>
      <c r="K239" s="876"/>
      <c r="L239" s="877"/>
      <c r="M239" s="877"/>
      <c r="N239" s="877"/>
    </row>
    <row r="240" spans="1:14" ht="15.75">
      <c r="A240" s="77">
        <f>+A239+1</f>
        <v>141</v>
      </c>
      <c r="B240" s="77"/>
      <c r="C240" s="61" t="s">
        <v>729</v>
      </c>
      <c r="D240" s="61"/>
      <c r="F240" s="54" t="str">
        <f>"(Line "&amp;A238&amp;" + Line "&amp;A239&amp;")"</f>
        <v>(Line 139 + Line 140)</v>
      </c>
      <c r="G240" s="54"/>
      <c r="H240" s="260">
        <f>H238+H239</f>
        <v>484568532.5522996</v>
      </c>
      <c r="J240" s="877"/>
      <c r="K240" s="876"/>
      <c r="L240" s="877"/>
      <c r="M240" s="877"/>
      <c r="N240" s="877"/>
    </row>
    <row r="241" spans="1:14" ht="15.75">
      <c r="A241" s="77">
        <f>+A240+1</f>
        <v>142</v>
      </c>
      <c r="B241" s="77"/>
      <c r="C241" s="61" t="str">
        <f>+C232</f>
        <v>Net Transmission Plant </v>
      </c>
      <c r="D241" s="61"/>
      <c r="F241" s="54" t="str">
        <f>"(Line "&amp;A38&amp;" - Line "&amp;A52&amp;" + Line "&amp;A70&amp;")"</f>
        <v>(Line 18 - Line 26 + Line 35)</v>
      </c>
      <c r="G241" s="54"/>
      <c r="H241" s="960">
        <f>(H38-H52)+H70</f>
        <v>2978147461.996667</v>
      </c>
      <c r="J241" s="877"/>
      <c r="K241" s="876"/>
      <c r="L241" s="877"/>
      <c r="M241" s="877"/>
      <c r="N241" s="877"/>
    </row>
    <row r="242" spans="1:14" ht="15.75">
      <c r="A242" s="77">
        <f>+A241+1</f>
        <v>143</v>
      </c>
      <c r="B242" s="77"/>
      <c r="C242" s="61" t="s">
        <v>730</v>
      </c>
      <c r="D242" s="61"/>
      <c r="F242" s="54" t="str">
        <f>"(Line "&amp;A240&amp;" / Line "&amp;A241&amp;")"</f>
        <v>(Line 141 / Line 142)</v>
      </c>
      <c r="G242" s="32"/>
      <c r="H242" s="38">
        <f>H240/H241</f>
        <v>0.1627080387172722</v>
      </c>
      <c r="J242" s="877"/>
      <c r="K242" s="876"/>
      <c r="L242" s="877"/>
      <c r="M242" s="877"/>
      <c r="N242" s="877"/>
    </row>
    <row r="243" spans="1:26" ht="15.75">
      <c r="A243" s="77">
        <f>+A242+1</f>
        <v>144</v>
      </c>
      <c r="B243" s="77"/>
      <c r="C243" s="61" t="s">
        <v>731</v>
      </c>
      <c r="D243" s="61"/>
      <c r="F243" s="54" t="str">
        <f>"(Line "&amp;A240&amp;" - Line "&amp;A128&amp;") /  Line "&amp;A241</f>
        <v>(Line 141 - Line 71) /  Line 142</v>
      </c>
      <c r="G243" s="32"/>
      <c r="H243" s="38">
        <f>(H240-H128)/H241</f>
        <v>0.1452834359189914</v>
      </c>
      <c r="J243" s="894"/>
      <c r="K243" s="872"/>
      <c r="L243" s="894"/>
      <c r="M243" s="894"/>
      <c r="N243" s="894"/>
      <c r="O243" s="105"/>
      <c r="P243" s="105"/>
      <c r="Q243" s="105"/>
      <c r="R243" s="105"/>
      <c r="S243" s="105"/>
      <c r="T243" s="105"/>
      <c r="U243" s="105"/>
      <c r="V243" s="105"/>
      <c r="W243" s="105"/>
      <c r="X243" s="105"/>
      <c r="Y243" s="105"/>
      <c r="Z243" s="105"/>
    </row>
    <row r="244" spans="1:26" ht="15.75">
      <c r="A244" s="77"/>
      <c r="B244" s="77"/>
      <c r="C244" s="61"/>
      <c r="D244" s="61"/>
      <c r="F244" s="54"/>
      <c r="G244" s="32"/>
      <c r="H244" s="38"/>
      <c r="J244" s="894"/>
      <c r="K244" s="872"/>
      <c r="L244" s="894"/>
      <c r="M244" s="894"/>
      <c r="N244" s="894"/>
      <c r="O244" s="105"/>
      <c r="P244" s="105"/>
      <c r="Q244" s="105"/>
      <c r="R244" s="105"/>
      <c r="S244" s="105"/>
      <c r="T244" s="105"/>
      <c r="U244" s="105"/>
      <c r="V244" s="105"/>
      <c r="W244" s="105"/>
      <c r="X244" s="105"/>
      <c r="Y244" s="105"/>
      <c r="Z244" s="105"/>
    </row>
    <row r="245" spans="1:26" ht="15.75">
      <c r="A245" s="77">
        <f>+A243+1</f>
        <v>145</v>
      </c>
      <c r="B245" s="77"/>
      <c r="C245" s="214" t="s">
        <v>516</v>
      </c>
      <c r="D245" s="61"/>
      <c r="E245" s="94"/>
      <c r="F245" s="54" t="str">
        <f>"(Line "&amp;A228&amp;")"</f>
        <v>(Line 133)</v>
      </c>
      <c r="G245" s="32"/>
      <c r="H245" s="239">
        <f>H228</f>
        <v>353534208.9082482</v>
      </c>
      <c r="J245" s="239"/>
      <c r="K245" s="872"/>
      <c r="L245" s="894"/>
      <c r="M245" s="894"/>
      <c r="N245" s="894"/>
      <c r="O245" s="105"/>
      <c r="P245" s="105"/>
      <c r="Q245" s="105"/>
      <c r="R245" s="105"/>
      <c r="S245" s="105"/>
      <c r="T245" s="105"/>
      <c r="U245" s="105"/>
      <c r="V245" s="105"/>
      <c r="W245" s="105"/>
      <c r="X245" s="105"/>
      <c r="Y245" s="105"/>
      <c r="Z245" s="105"/>
    </row>
    <row r="246" spans="1:26" ht="15.75">
      <c r="A246" s="77">
        <f>+A245+1</f>
        <v>146</v>
      </c>
      <c r="B246" s="77"/>
      <c r="C246" s="61" t="s">
        <v>172</v>
      </c>
      <c r="D246" s="61"/>
      <c r="E246" s="314"/>
      <c r="F246" s="347" t="s">
        <v>265</v>
      </c>
      <c r="G246" s="32"/>
      <c r="H246" s="260">
        <f>+'6- Est &amp; Reconcile WS'!H138</f>
        <v>-25788295.088366877</v>
      </c>
      <c r="J246" s="260"/>
      <c r="K246" s="872"/>
      <c r="L246" s="894"/>
      <c r="M246" s="894"/>
      <c r="N246" s="894"/>
      <c r="O246" s="105"/>
      <c r="P246" s="105"/>
      <c r="Q246" s="105"/>
      <c r="R246" s="105"/>
      <c r="S246" s="105"/>
      <c r="T246" s="105"/>
      <c r="U246" s="105"/>
      <c r="V246" s="105"/>
      <c r="W246" s="105"/>
      <c r="X246" s="105"/>
      <c r="Y246" s="105"/>
      <c r="Z246" s="105"/>
    </row>
    <row r="247" spans="1:256" ht="15.75">
      <c r="A247" s="77">
        <f>+A246+1</f>
        <v>147</v>
      </c>
      <c r="B247" s="77"/>
      <c r="C247" s="36" t="s">
        <v>312</v>
      </c>
      <c r="D247" s="391"/>
      <c r="E247" s="197"/>
      <c r="F247" s="80" t="s">
        <v>314</v>
      </c>
      <c r="G247" s="32"/>
      <c r="H247" s="260">
        <f>'5 - Cost Support'!G108</f>
        <v>0</v>
      </c>
      <c r="J247" s="260"/>
      <c r="K247" s="872"/>
      <c r="L247" s="894"/>
      <c r="M247" s="894"/>
      <c r="N247" s="894"/>
      <c r="O247" s="105"/>
      <c r="P247" s="105"/>
      <c r="Q247" s="105"/>
      <c r="R247" s="105"/>
      <c r="S247" s="105"/>
      <c r="T247" s="105"/>
      <c r="U247" s="105"/>
      <c r="V247" s="105"/>
      <c r="W247" s="105"/>
      <c r="X247" s="105"/>
      <c r="Y247" s="105"/>
      <c r="Z247" s="105"/>
      <c r="IV247" s="50">
        <f>SUM(A247:IU247)</f>
        <v>147</v>
      </c>
    </row>
    <row r="248" spans="1:26" ht="15.75">
      <c r="A248" s="77">
        <f>+A247+1</f>
        <v>148</v>
      </c>
      <c r="B248" s="77"/>
      <c r="C248" s="214" t="s">
        <v>64</v>
      </c>
      <c r="D248" s="61"/>
      <c r="E248" s="94"/>
      <c r="F248" s="54" t="str">
        <f>"(Line "&amp;A245&amp;" + "&amp;A246&amp;"  + "&amp;A247&amp;")"</f>
        <v>(Line 145 + 146  + 147)</v>
      </c>
      <c r="G248" s="32"/>
      <c r="H248" s="239">
        <f>(H245+H246+H247)</f>
        <v>327745913.8198813</v>
      </c>
      <c r="J248" s="239"/>
      <c r="K248" s="902"/>
      <c r="L248" s="894"/>
      <c r="M248" s="894"/>
      <c r="N248" s="894"/>
      <c r="O248" s="105"/>
      <c r="P248" s="105"/>
      <c r="Q248" s="105"/>
      <c r="R248" s="105"/>
      <c r="S248" s="105"/>
      <c r="T248" s="105"/>
      <c r="U248" s="105"/>
      <c r="V248" s="105"/>
      <c r="W248" s="105"/>
      <c r="X248" s="105"/>
      <c r="Y248" s="105"/>
      <c r="Z248" s="105"/>
    </row>
    <row r="249" spans="1:26" ht="15.75">
      <c r="A249" s="77"/>
      <c r="B249" s="31"/>
      <c r="C249" s="61"/>
      <c r="D249" s="61"/>
      <c r="F249" s="54"/>
      <c r="G249" s="32"/>
      <c r="H249" s="260"/>
      <c r="J249" s="894"/>
      <c r="K249" s="905"/>
      <c r="L249" s="894"/>
      <c r="M249" s="894"/>
      <c r="N249" s="894"/>
      <c r="O249" s="105"/>
      <c r="P249" s="105"/>
      <c r="Q249" s="105"/>
      <c r="R249" s="105"/>
      <c r="S249" s="105"/>
      <c r="T249" s="105"/>
      <c r="U249" s="105"/>
      <c r="V249" s="105"/>
      <c r="W249" s="105"/>
      <c r="X249" s="105"/>
      <c r="Y249" s="105"/>
      <c r="Z249" s="105"/>
    </row>
    <row r="250" spans="1:26" ht="15.75">
      <c r="A250" s="77"/>
      <c r="B250" s="103" t="s">
        <v>63</v>
      </c>
      <c r="C250" s="61"/>
      <c r="D250" s="61"/>
      <c r="F250" s="54"/>
      <c r="G250" s="32"/>
      <c r="H250" s="260"/>
      <c r="J250" s="894"/>
      <c r="K250" s="872"/>
      <c r="L250" s="894"/>
      <c r="M250" s="894"/>
      <c r="N250" s="894"/>
      <c r="O250" s="105"/>
      <c r="P250" s="105"/>
      <c r="Q250" s="105"/>
      <c r="R250" s="105"/>
      <c r="S250" s="105"/>
      <c r="T250" s="105"/>
      <c r="U250" s="105"/>
      <c r="V250" s="105"/>
      <c r="W250" s="105"/>
      <c r="X250" s="105"/>
      <c r="Y250" s="105"/>
      <c r="Z250" s="105"/>
    </row>
    <row r="251" spans="1:26" ht="15.75">
      <c r="A251" s="77">
        <f>+A248+1</f>
        <v>149</v>
      </c>
      <c r="B251" s="31"/>
      <c r="C251" s="10" t="s">
        <v>457</v>
      </c>
      <c r="D251" s="130"/>
      <c r="E251" s="197" t="str">
        <f>"(Note "&amp;B$281&amp;")"</f>
        <v>(Note L)</v>
      </c>
      <c r="F251" s="61" t="s">
        <v>61</v>
      </c>
      <c r="G251" s="61"/>
      <c r="H251" s="764">
        <f>'5 - Cost Support'!G119</f>
        <v>8055</v>
      </c>
      <c r="J251" s="906"/>
      <c r="K251" s="872"/>
      <c r="L251" s="894"/>
      <c r="M251" s="894"/>
      <c r="N251" s="894"/>
      <c r="O251" s="105"/>
      <c r="P251" s="105"/>
      <c r="Q251" s="105"/>
      <c r="R251" s="105"/>
      <c r="S251" s="105"/>
      <c r="T251" s="105"/>
      <c r="U251" s="105"/>
      <c r="V251" s="105"/>
      <c r="W251" s="105"/>
      <c r="X251" s="105"/>
      <c r="Y251" s="105"/>
      <c r="Z251" s="105"/>
    </row>
    <row r="252" spans="1:26" ht="15.75">
      <c r="A252" s="29">
        <f>+A251+1</f>
        <v>150</v>
      </c>
      <c r="B252" s="31"/>
      <c r="C252" s="10" t="s">
        <v>456</v>
      </c>
      <c r="D252" s="273"/>
      <c r="E252" s="274"/>
      <c r="F252" s="42" t="str">
        <f>"(Line "&amp;A248&amp;" / "&amp;A251&amp;")"</f>
        <v>(Line 148 / 149)</v>
      </c>
      <c r="G252" s="137"/>
      <c r="H252" s="502">
        <f>H248/H251</f>
        <v>40688.505750450815</v>
      </c>
      <c r="J252" s="894"/>
      <c r="K252" s="872"/>
      <c r="L252" s="894"/>
      <c r="M252" s="894"/>
      <c r="N252" s="894"/>
      <c r="O252" s="105"/>
      <c r="P252" s="105"/>
      <c r="Q252" s="105"/>
      <c r="R252" s="105"/>
      <c r="S252" s="105"/>
      <c r="T252" s="105"/>
      <c r="U252" s="105"/>
      <c r="V252" s="105"/>
      <c r="W252" s="105"/>
      <c r="X252" s="105"/>
      <c r="Y252" s="105"/>
      <c r="Z252" s="105"/>
    </row>
    <row r="253" spans="1:26" ht="16.5" thickBot="1">
      <c r="A253" s="31"/>
      <c r="B253" s="31"/>
      <c r="C253" s="130"/>
      <c r="D253" s="130"/>
      <c r="E253" s="195"/>
      <c r="F253" s="307"/>
      <c r="G253" s="137"/>
      <c r="H253" s="493"/>
      <c r="J253" s="894"/>
      <c r="K253" s="872"/>
      <c r="L253" s="894"/>
      <c r="M253" s="894"/>
      <c r="N253" s="894"/>
      <c r="O253" s="105"/>
      <c r="P253" s="105"/>
      <c r="Q253" s="105"/>
      <c r="R253" s="105"/>
      <c r="S253" s="105"/>
      <c r="T253" s="105"/>
      <c r="U253" s="105"/>
      <c r="V253" s="105"/>
      <c r="W253" s="105"/>
      <c r="X253" s="105"/>
      <c r="Y253" s="105"/>
      <c r="Z253" s="105"/>
    </row>
    <row r="254" spans="1:26" s="82" customFormat="1" ht="18.75" thickBot="1">
      <c r="A254" s="144">
        <f>+A252+1</f>
        <v>151</v>
      </c>
      <c r="B254" s="153"/>
      <c r="C254" s="145" t="s">
        <v>527</v>
      </c>
      <c r="D254" s="153"/>
      <c r="E254" s="153"/>
      <c r="F254" s="153" t="str">
        <f>"(Line "&amp;A252&amp;")"</f>
        <v>(Line 150)</v>
      </c>
      <c r="G254" s="153"/>
      <c r="H254" s="501">
        <f>H252</f>
        <v>40688.505750450815</v>
      </c>
      <c r="I254" s="105"/>
      <c r="J254" s="894"/>
      <c r="K254" s="872"/>
      <c r="L254" s="894"/>
      <c r="M254" s="894"/>
      <c r="N254" s="894"/>
      <c r="O254" s="105"/>
      <c r="P254" s="105"/>
      <c r="Q254" s="105"/>
      <c r="R254" s="105"/>
      <c r="S254" s="105"/>
      <c r="T254" s="105"/>
      <c r="U254" s="105"/>
      <c r="V254" s="105"/>
      <c r="W254" s="105"/>
      <c r="X254" s="105"/>
      <c r="Y254" s="105"/>
      <c r="Z254" s="105"/>
    </row>
    <row r="255" spans="1:26" s="82" customFormat="1" ht="15.75">
      <c r="A255" s="230"/>
      <c r="B255" s="78"/>
      <c r="C255" s="37"/>
      <c r="D255" s="37"/>
      <c r="E255" s="195"/>
      <c r="F255" s="137"/>
      <c r="G255" s="137"/>
      <c r="H255" s="493"/>
      <c r="I255" s="105"/>
      <c r="J255" s="894"/>
      <c r="K255" s="872"/>
      <c r="L255" s="894"/>
      <c r="M255" s="894"/>
      <c r="N255" s="894"/>
      <c r="O255" s="105"/>
      <c r="P255" s="105"/>
      <c r="Q255" s="105"/>
      <c r="R255" s="105"/>
      <c r="S255" s="105"/>
      <c r="T255" s="105"/>
      <c r="U255" s="105"/>
      <c r="V255" s="105"/>
      <c r="W255" s="105"/>
      <c r="X255" s="105"/>
      <c r="Y255" s="105"/>
      <c r="Z255" s="105"/>
    </row>
    <row r="256" spans="1:30" s="82" customFormat="1" ht="21">
      <c r="A256" s="561"/>
      <c r="B256" s="562" t="s">
        <v>512</v>
      </c>
      <c r="C256" s="563"/>
      <c r="D256" s="563"/>
      <c r="E256" s="564"/>
      <c r="F256" s="565"/>
      <c r="G256" s="307"/>
      <c r="H256" s="260"/>
      <c r="I256" s="105"/>
      <c r="J256" s="894"/>
      <c r="K256" s="872"/>
      <c r="L256" s="894"/>
      <c r="M256" s="894"/>
      <c r="N256" s="894"/>
      <c r="O256" s="105"/>
      <c r="P256" s="105"/>
      <c r="Q256" s="105"/>
      <c r="R256" s="105"/>
      <c r="S256" s="105"/>
      <c r="T256" s="105"/>
      <c r="U256" s="105"/>
      <c r="V256" s="105"/>
      <c r="W256" s="105"/>
      <c r="X256" s="105"/>
      <c r="Y256" s="105"/>
      <c r="Z256" s="105"/>
      <c r="AA256" s="105"/>
      <c r="AB256" s="105"/>
      <c r="AC256" s="105"/>
      <c r="AD256" s="105"/>
    </row>
    <row r="257" spans="1:30" s="82" customFormat="1" ht="20.25">
      <c r="A257" s="566"/>
      <c r="B257" s="313" t="s">
        <v>365</v>
      </c>
      <c r="C257" s="576" t="s">
        <v>141</v>
      </c>
      <c r="D257" s="576"/>
      <c r="E257" s="584"/>
      <c r="F257" s="585"/>
      <c r="G257" s="585"/>
      <c r="H257" s="578"/>
      <c r="I257" s="586"/>
      <c r="J257" s="907"/>
      <c r="K257" s="872"/>
      <c r="L257" s="894"/>
      <c r="M257" s="894"/>
      <c r="N257" s="894"/>
      <c r="O257" s="105"/>
      <c r="P257" s="105"/>
      <c r="Q257" s="105"/>
      <c r="R257" s="105"/>
      <c r="S257" s="105"/>
      <c r="T257" s="105"/>
      <c r="U257" s="105"/>
      <c r="V257" s="105"/>
      <c r="W257" s="105"/>
      <c r="X257" s="105"/>
      <c r="Y257" s="105"/>
      <c r="Z257" s="105"/>
      <c r="AA257" s="105"/>
      <c r="AB257" s="105"/>
      <c r="AC257" s="105"/>
      <c r="AD257" s="105"/>
    </row>
    <row r="258" spans="1:33" s="82" customFormat="1" ht="20.25">
      <c r="A258" s="566"/>
      <c r="B258" s="313" t="s">
        <v>477</v>
      </c>
      <c r="C258" s="577" t="str">
        <f>"Line "&amp;A36&amp;", for the Reconciliation, includes New Transmission Plant that actually was placed in service weighted by the number of months it actually was in service."</f>
        <v>Line 16, for the Reconciliation, includes New Transmission Plant that actually was placed in service weighted by the number of months it actually was in service.</v>
      </c>
      <c r="D258" s="576"/>
      <c r="E258" s="584"/>
      <c r="F258" s="585"/>
      <c r="G258" s="585"/>
      <c r="H258" s="578"/>
      <c r="I258" s="586"/>
      <c r="J258" s="907"/>
      <c r="K258" s="872"/>
      <c r="L258" s="894"/>
      <c r="M258" s="894"/>
      <c r="N258" s="894"/>
      <c r="O258" s="105"/>
      <c r="P258" s="105"/>
      <c r="Q258" s="105"/>
      <c r="R258" s="105"/>
      <c r="S258" s="105"/>
      <c r="T258" s="105"/>
      <c r="U258" s="105"/>
      <c r="V258" s="105"/>
      <c r="W258" s="105"/>
      <c r="X258" s="105"/>
      <c r="Y258" s="105"/>
      <c r="Z258" s="105"/>
      <c r="AA258" s="105"/>
      <c r="AB258" s="105"/>
      <c r="AC258" s="105"/>
      <c r="AD258" s="105"/>
      <c r="AE258" s="105"/>
      <c r="AF258" s="105"/>
      <c r="AG258" s="105"/>
    </row>
    <row r="259" spans="1:33" s="82" customFormat="1" ht="20.25">
      <c r="A259" s="566"/>
      <c r="B259" s="313"/>
      <c r="C259" s="577" t="str">
        <f>"Line "&amp;A37&amp;" includes New Transmission Plant to be placed in service in the current calendar year. "</f>
        <v>Line 17 includes New Transmission Plant to be placed in service in the current calendar year. </v>
      </c>
      <c r="D259" s="576"/>
      <c r="E259" s="584"/>
      <c r="F259" s="585"/>
      <c r="G259" s="585"/>
      <c r="H259" s="578"/>
      <c r="I259" s="586"/>
      <c r="J259" s="907"/>
      <c r="K259" s="872"/>
      <c r="L259" s="894"/>
      <c r="M259" s="894"/>
      <c r="N259" s="894"/>
      <c r="O259" s="105"/>
      <c r="P259" s="105"/>
      <c r="Q259" s="105"/>
      <c r="R259" s="105"/>
      <c r="S259" s="105"/>
      <c r="T259" s="105"/>
      <c r="U259" s="105"/>
      <c r="V259" s="105"/>
      <c r="W259" s="105"/>
      <c r="X259" s="105"/>
      <c r="Y259" s="105"/>
      <c r="Z259" s="105"/>
      <c r="AA259" s="105"/>
      <c r="AB259" s="105"/>
      <c r="AC259" s="105"/>
      <c r="AD259" s="105"/>
      <c r="AE259" s="105"/>
      <c r="AF259" s="105"/>
      <c r="AG259" s="105"/>
    </row>
    <row r="260" spans="1:30" s="82" customFormat="1" ht="20.25">
      <c r="A260" s="566"/>
      <c r="B260" s="313" t="s">
        <v>348</v>
      </c>
      <c r="C260" s="799" t="s">
        <v>99</v>
      </c>
      <c r="D260" s="576"/>
      <c r="E260" s="584"/>
      <c r="F260" s="585"/>
      <c r="G260" s="585"/>
      <c r="H260" s="578"/>
      <c r="I260" s="586"/>
      <c r="J260" s="908"/>
      <c r="K260" s="872"/>
      <c r="L260" s="894"/>
      <c r="M260" s="894"/>
      <c r="N260" s="894"/>
      <c r="O260" s="105"/>
      <c r="P260" s="105"/>
      <c r="Q260" s="105"/>
      <c r="R260" s="105"/>
      <c r="S260" s="105"/>
      <c r="T260" s="105"/>
      <c r="U260" s="105"/>
      <c r="V260" s="105"/>
      <c r="W260" s="105"/>
      <c r="X260" s="105"/>
      <c r="Y260" s="105"/>
      <c r="Z260" s="105"/>
      <c r="AA260" s="105"/>
      <c r="AB260" s="105"/>
      <c r="AC260" s="105"/>
      <c r="AD260" s="105"/>
    </row>
    <row r="261" spans="1:30" s="82" customFormat="1" ht="20.25">
      <c r="A261" s="566"/>
      <c r="B261" s="313" t="s">
        <v>366</v>
      </c>
      <c r="C261" s="579" t="s">
        <v>142</v>
      </c>
      <c r="D261" s="576"/>
      <c r="E261" s="584"/>
      <c r="F261" s="585"/>
      <c r="G261" s="585"/>
      <c r="H261" s="578"/>
      <c r="I261" s="586"/>
      <c r="J261" s="907"/>
      <c r="K261" s="872"/>
      <c r="L261" s="894"/>
      <c r="M261" s="894"/>
      <c r="N261" s="894"/>
      <c r="O261" s="105"/>
      <c r="P261" s="105"/>
      <c r="Q261" s="105"/>
      <c r="R261" s="105"/>
      <c r="S261" s="105"/>
      <c r="T261" s="105"/>
      <c r="U261" s="105"/>
      <c r="V261" s="105"/>
      <c r="W261" s="105"/>
      <c r="X261" s="105"/>
      <c r="Y261" s="105"/>
      <c r="Z261" s="105"/>
      <c r="AA261" s="105"/>
      <c r="AB261" s="105"/>
      <c r="AC261" s="105"/>
      <c r="AD261" s="105"/>
    </row>
    <row r="262" spans="1:30" s="82" customFormat="1" ht="20.25">
      <c r="A262" s="566"/>
      <c r="B262" s="313" t="s">
        <v>364</v>
      </c>
      <c r="C262" s="580" t="s">
        <v>143</v>
      </c>
      <c r="D262" s="576"/>
      <c r="E262" s="584"/>
      <c r="F262" s="585"/>
      <c r="G262" s="585"/>
      <c r="H262" s="578"/>
      <c r="I262" s="586"/>
      <c r="J262" s="907"/>
      <c r="K262" s="872"/>
      <c r="L262" s="894"/>
      <c r="M262" s="894"/>
      <c r="N262" s="894"/>
      <c r="O262" s="105"/>
      <c r="P262" s="105"/>
      <c r="Q262" s="105"/>
      <c r="R262" s="105"/>
      <c r="S262" s="105"/>
      <c r="T262" s="105"/>
      <c r="U262" s="105"/>
      <c r="V262" s="105"/>
      <c r="W262" s="105"/>
      <c r="X262" s="105"/>
      <c r="Y262" s="105"/>
      <c r="Z262" s="105"/>
      <c r="AA262" s="105"/>
      <c r="AB262" s="105"/>
      <c r="AC262" s="105"/>
      <c r="AD262" s="105"/>
    </row>
    <row r="263" spans="1:30" s="82" customFormat="1" ht="20.25">
      <c r="A263" s="566"/>
      <c r="B263" s="313" t="s">
        <v>92</v>
      </c>
      <c r="C263" s="579" t="s">
        <v>144</v>
      </c>
      <c r="D263" s="576"/>
      <c r="E263" s="584"/>
      <c r="F263" s="585"/>
      <c r="G263" s="585"/>
      <c r="H263" s="578"/>
      <c r="I263" s="586"/>
      <c r="J263" s="907"/>
      <c r="K263" s="872"/>
      <c r="L263" s="894"/>
      <c r="M263" s="894"/>
      <c r="N263" s="894"/>
      <c r="O263" s="105"/>
      <c r="P263" s="105"/>
      <c r="Q263" s="105"/>
      <c r="R263" s="105"/>
      <c r="S263" s="105"/>
      <c r="T263" s="105"/>
      <c r="U263" s="105"/>
      <c r="V263" s="105"/>
      <c r="W263" s="105"/>
      <c r="X263" s="105"/>
      <c r="Y263" s="105"/>
      <c r="Z263" s="105"/>
      <c r="AA263" s="105"/>
      <c r="AB263" s="105"/>
      <c r="AC263" s="105"/>
      <c r="AD263" s="105"/>
    </row>
    <row r="264" spans="1:30" s="82" customFormat="1" ht="20.25">
      <c r="A264" s="566"/>
      <c r="B264" s="313" t="s">
        <v>367</v>
      </c>
      <c r="C264" s="579" t="s">
        <v>653</v>
      </c>
      <c r="D264" s="576"/>
      <c r="E264" s="584"/>
      <c r="F264" s="585"/>
      <c r="G264" s="585"/>
      <c r="H264" s="578"/>
      <c r="I264" s="586"/>
      <c r="J264" s="907"/>
      <c r="K264" s="872"/>
      <c r="L264" s="894"/>
      <c r="M264" s="894"/>
      <c r="N264" s="894"/>
      <c r="O264" s="105"/>
      <c r="P264" s="105"/>
      <c r="Q264" s="105"/>
      <c r="R264" s="105"/>
      <c r="S264" s="105"/>
      <c r="T264" s="105"/>
      <c r="U264" s="105"/>
      <c r="V264" s="105"/>
      <c r="W264" s="105"/>
      <c r="X264" s="105"/>
      <c r="Y264" s="105"/>
      <c r="Z264" s="105"/>
      <c r="AA264" s="105"/>
      <c r="AB264" s="105"/>
      <c r="AC264" s="105"/>
      <c r="AD264" s="105"/>
    </row>
    <row r="265" spans="1:30" s="82" customFormat="1" ht="20.25">
      <c r="A265" s="566"/>
      <c r="B265" s="313"/>
      <c r="C265" s="914" t="s">
        <v>555</v>
      </c>
      <c r="D265" s="576"/>
      <c r="E265" s="584"/>
      <c r="F265" s="585"/>
      <c r="G265" s="585"/>
      <c r="H265" s="578"/>
      <c r="I265" s="586"/>
      <c r="J265" s="907"/>
      <c r="K265" s="872"/>
      <c r="L265" s="894"/>
      <c r="M265" s="894"/>
      <c r="N265" s="894"/>
      <c r="O265" s="105"/>
      <c r="P265" s="105"/>
      <c r="Q265" s="105"/>
      <c r="R265" s="105"/>
      <c r="S265" s="105"/>
      <c r="T265" s="105"/>
      <c r="U265" s="105"/>
      <c r="V265" s="105"/>
      <c r="W265" s="105"/>
      <c r="X265" s="105"/>
      <c r="Y265" s="105"/>
      <c r="Z265" s="105"/>
      <c r="AA265" s="105"/>
      <c r="AB265" s="105"/>
      <c r="AC265" s="105"/>
      <c r="AD265" s="105"/>
    </row>
    <row r="266" spans="1:30" s="82" customFormat="1" ht="20.25">
      <c r="A266" s="566"/>
      <c r="B266" s="313" t="s">
        <v>623</v>
      </c>
      <c r="C266" s="579" t="s">
        <v>652</v>
      </c>
      <c r="D266" s="576"/>
      <c r="E266" s="584"/>
      <c r="F266" s="585"/>
      <c r="G266" s="585"/>
      <c r="H266" s="578"/>
      <c r="I266" s="586"/>
      <c r="J266" s="907"/>
      <c r="K266" s="872"/>
      <c r="L266" s="894"/>
      <c r="M266" s="894"/>
      <c r="N266" s="894"/>
      <c r="O266" s="105"/>
      <c r="P266" s="105"/>
      <c r="Q266" s="105"/>
      <c r="R266" s="105"/>
      <c r="S266" s="105"/>
      <c r="T266" s="105"/>
      <c r="U266" s="105"/>
      <c r="V266" s="105"/>
      <c r="W266" s="105"/>
      <c r="X266" s="105"/>
      <c r="Y266" s="105"/>
      <c r="Z266" s="105"/>
      <c r="AA266" s="105"/>
      <c r="AB266" s="105"/>
      <c r="AC266" s="105"/>
      <c r="AD266" s="105"/>
    </row>
    <row r="267" spans="1:30" s="82" customFormat="1" ht="20.25">
      <c r="A267" s="566"/>
      <c r="B267" s="313" t="s">
        <v>628</v>
      </c>
      <c r="C267" s="579" t="s">
        <v>540</v>
      </c>
      <c r="D267" s="576"/>
      <c r="E267" s="584"/>
      <c r="F267" s="585"/>
      <c r="G267" s="585"/>
      <c r="H267" s="578"/>
      <c r="I267" s="586"/>
      <c r="J267" s="907"/>
      <c r="K267" s="872"/>
      <c r="L267" s="894"/>
      <c r="M267" s="894"/>
      <c r="N267" s="894"/>
      <c r="O267" s="105"/>
      <c r="P267" s="105"/>
      <c r="Q267" s="105"/>
      <c r="R267" s="105"/>
      <c r="S267" s="105"/>
      <c r="T267" s="105"/>
      <c r="U267" s="105"/>
      <c r="V267" s="105"/>
      <c r="W267" s="105"/>
      <c r="X267" s="105"/>
      <c r="Y267" s="105"/>
      <c r="Z267" s="105"/>
      <c r="AA267" s="105"/>
      <c r="AB267" s="105"/>
      <c r="AC267" s="105"/>
      <c r="AD267" s="105"/>
    </row>
    <row r="268" spans="1:30" s="82" customFormat="1" ht="20.25">
      <c r="A268" s="566"/>
      <c r="B268" s="313"/>
      <c r="C268" s="579" t="s">
        <v>504</v>
      </c>
      <c r="D268" s="576"/>
      <c r="E268" s="584"/>
      <c r="F268" s="585"/>
      <c r="G268" s="585"/>
      <c r="H268" s="578"/>
      <c r="I268" s="586"/>
      <c r="J268" s="907"/>
      <c r="K268" s="872"/>
      <c r="L268" s="894"/>
      <c r="M268" s="894"/>
      <c r="N268" s="894"/>
      <c r="O268" s="105"/>
      <c r="P268" s="105"/>
      <c r="Q268" s="105"/>
      <c r="R268" s="105"/>
      <c r="S268" s="105"/>
      <c r="T268" s="105"/>
      <c r="U268" s="105"/>
      <c r="V268" s="105"/>
      <c r="W268" s="105"/>
      <c r="X268" s="105"/>
      <c r="Y268" s="105"/>
      <c r="Z268" s="105"/>
      <c r="AA268" s="105"/>
      <c r="AB268" s="105"/>
      <c r="AC268" s="105"/>
      <c r="AD268" s="105"/>
    </row>
    <row r="269" spans="1:30" s="82" customFormat="1" ht="20.25">
      <c r="A269" s="566"/>
      <c r="B269" s="313"/>
      <c r="C269" s="955" t="s">
        <v>506</v>
      </c>
      <c r="D269" s="576"/>
      <c r="E269" s="584"/>
      <c r="F269" s="585"/>
      <c r="G269" s="585"/>
      <c r="H269" s="578"/>
      <c r="I269" s="586"/>
      <c r="J269" s="907"/>
      <c r="K269" s="872"/>
      <c r="L269" s="894"/>
      <c r="M269" s="894"/>
      <c r="N269" s="894"/>
      <c r="O269" s="105"/>
      <c r="P269" s="105"/>
      <c r="Q269" s="105"/>
      <c r="R269" s="105"/>
      <c r="S269" s="105"/>
      <c r="T269" s="105"/>
      <c r="U269" s="105"/>
      <c r="V269" s="105"/>
      <c r="W269" s="105"/>
      <c r="X269" s="105"/>
      <c r="Y269" s="105"/>
      <c r="Z269" s="105"/>
      <c r="AA269" s="105"/>
      <c r="AB269" s="105"/>
      <c r="AC269" s="105"/>
      <c r="AD269" s="105"/>
    </row>
    <row r="270" spans="1:30" s="82" customFormat="1" ht="20.25">
      <c r="A270" s="566"/>
      <c r="B270" s="313"/>
      <c r="C270" s="579" t="s">
        <v>505</v>
      </c>
      <c r="D270" s="576"/>
      <c r="E270" s="584"/>
      <c r="F270" s="585"/>
      <c r="G270" s="585"/>
      <c r="H270" s="578"/>
      <c r="I270" s="586"/>
      <c r="J270" s="907"/>
      <c r="K270" s="872"/>
      <c r="L270" s="894"/>
      <c r="M270" s="894"/>
      <c r="N270" s="894"/>
      <c r="O270" s="105"/>
      <c r="P270" s="105"/>
      <c r="Q270" s="105"/>
      <c r="R270" s="105"/>
      <c r="S270" s="105"/>
      <c r="T270" s="105"/>
      <c r="U270" s="105"/>
      <c r="V270" s="105"/>
      <c r="W270" s="105"/>
      <c r="X270" s="105"/>
      <c r="Y270" s="105"/>
      <c r="Z270" s="105"/>
      <c r="AA270" s="105"/>
      <c r="AB270" s="105"/>
      <c r="AC270" s="105"/>
      <c r="AD270" s="105"/>
    </row>
    <row r="271" spans="1:30" s="82" customFormat="1" ht="20.25">
      <c r="A271" s="566"/>
      <c r="B271" s="313"/>
      <c r="C271" s="914" t="s">
        <v>145</v>
      </c>
      <c r="D271" s="576"/>
      <c r="E271" s="584"/>
      <c r="F271" s="585"/>
      <c r="G271" s="585"/>
      <c r="H271" s="578"/>
      <c r="I271" s="586"/>
      <c r="J271" s="907"/>
      <c r="K271" s="872"/>
      <c r="L271" s="894"/>
      <c r="M271" s="894"/>
      <c r="N271" s="894"/>
      <c r="O271" s="105"/>
      <c r="P271" s="105"/>
      <c r="Q271" s="105"/>
      <c r="R271" s="105"/>
      <c r="S271" s="105"/>
      <c r="T271" s="105"/>
      <c r="U271" s="105"/>
      <c r="V271" s="105"/>
      <c r="W271" s="105"/>
      <c r="X271" s="105"/>
      <c r="Y271" s="105"/>
      <c r="Z271" s="105"/>
      <c r="AA271" s="105"/>
      <c r="AB271" s="105"/>
      <c r="AC271" s="105"/>
      <c r="AD271" s="105"/>
    </row>
    <row r="272" spans="1:30" s="82" customFormat="1" ht="20.25">
      <c r="A272" s="566"/>
      <c r="B272" s="313"/>
      <c r="C272" s="957" t="s">
        <v>67</v>
      </c>
      <c r="D272" s="576"/>
      <c r="E272" s="584"/>
      <c r="F272" s="585"/>
      <c r="G272" s="585"/>
      <c r="H272" s="578"/>
      <c r="I272" s="586"/>
      <c r="J272" s="907"/>
      <c r="K272" s="872"/>
      <c r="L272" s="894"/>
      <c r="M272" s="894"/>
      <c r="N272" s="894"/>
      <c r="O272" s="105"/>
      <c r="P272" s="105"/>
      <c r="Q272" s="105"/>
      <c r="R272" s="105"/>
      <c r="S272" s="105"/>
      <c r="T272" s="105"/>
      <c r="U272" s="105"/>
      <c r="V272" s="105"/>
      <c r="W272" s="105"/>
      <c r="X272" s="105"/>
      <c r="Y272" s="105"/>
      <c r="Z272" s="105"/>
      <c r="AA272" s="105"/>
      <c r="AB272" s="105"/>
      <c r="AC272" s="105"/>
      <c r="AD272" s="105"/>
    </row>
    <row r="273" spans="1:30" s="82" customFormat="1" ht="20.25" customHeight="1">
      <c r="A273" s="566"/>
      <c r="B273" s="313" t="s">
        <v>354</v>
      </c>
      <c r="C273" s="576" t="s">
        <v>507</v>
      </c>
      <c r="D273" s="576"/>
      <c r="E273" s="584"/>
      <c r="F273" s="585"/>
      <c r="G273" s="585"/>
      <c r="H273" s="578"/>
      <c r="I273" s="586"/>
      <c r="J273" s="907"/>
      <c r="K273" s="872"/>
      <c r="L273" s="894"/>
      <c r="M273" s="894"/>
      <c r="N273" s="894"/>
      <c r="O273" s="105"/>
      <c r="P273" s="105"/>
      <c r="Q273" s="105"/>
      <c r="R273" s="105"/>
      <c r="S273" s="105"/>
      <c r="T273" s="105"/>
      <c r="U273" s="105"/>
      <c r="V273" s="105"/>
      <c r="W273" s="105"/>
      <c r="X273" s="105"/>
      <c r="Y273" s="105"/>
      <c r="Z273" s="105"/>
      <c r="AA273" s="105"/>
      <c r="AB273" s="105"/>
      <c r="AC273" s="105"/>
      <c r="AD273" s="105"/>
    </row>
    <row r="274" spans="1:30" s="82" customFormat="1" ht="20.25" customHeight="1">
      <c r="A274" s="566"/>
      <c r="B274" s="313"/>
      <c r="C274" s="956" t="s">
        <v>391</v>
      </c>
      <c r="D274" s="576"/>
      <c r="E274" s="584"/>
      <c r="F274" s="585"/>
      <c r="G274" s="585"/>
      <c r="H274" s="578"/>
      <c r="I274" s="586"/>
      <c r="J274" s="907"/>
      <c r="K274" s="872"/>
      <c r="L274" s="894"/>
      <c r="M274" s="894"/>
      <c r="N274" s="894"/>
      <c r="O274" s="105"/>
      <c r="P274" s="105"/>
      <c r="Q274" s="105"/>
      <c r="R274" s="105"/>
      <c r="S274" s="105"/>
      <c r="T274" s="105"/>
      <c r="U274" s="105"/>
      <c r="V274" s="105"/>
      <c r="W274" s="105"/>
      <c r="X274" s="105"/>
      <c r="Y274" s="105"/>
      <c r="Z274" s="105"/>
      <c r="AA274" s="105"/>
      <c r="AB274" s="105"/>
      <c r="AC274" s="105"/>
      <c r="AD274" s="105"/>
    </row>
    <row r="275" spans="1:30" s="82" customFormat="1" ht="20.25" customHeight="1">
      <c r="A275" s="566"/>
      <c r="B275" s="313"/>
      <c r="C275" s="576" t="s">
        <v>179</v>
      </c>
      <c r="D275" s="576"/>
      <c r="E275" s="584"/>
      <c r="F275" s="585"/>
      <c r="G275" s="585"/>
      <c r="H275" s="578"/>
      <c r="I275" s="586"/>
      <c r="J275" s="907"/>
      <c r="K275" s="872"/>
      <c r="L275" s="894"/>
      <c r="M275" s="894"/>
      <c r="N275" s="894"/>
      <c r="O275" s="105"/>
      <c r="P275" s="105"/>
      <c r="Q275" s="105"/>
      <c r="R275" s="105"/>
      <c r="S275" s="105"/>
      <c r="T275" s="105"/>
      <c r="U275" s="105"/>
      <c r="V275" s="105"/>
      <c r="W275" s="105"/>
      <c r="X275" s="105"/>
      <c r="Y275" s="105"/>
      <c r="Z275" s="105"/>
      <c r="AA275" s="105"/>
      <c r="AB275" s="105"/>
      <c r="AC275" s="105"/>
      <c r="AD275" s="105"/>
    </row>
    <row r="276" spans="1:30" s="82" customFormat="1" ht="20.25" customHeight="1">
      <c r="A276" s="566"/>
      <c r="B276" s="313"/>
      <c r="C276" s="630" t="s">
        <v>46</v>
      </c>
      <c r="D276" s="630"/>
      <c r="E276" s="631"/>
      <c r="F276" s="632"/>
      <c r="G276" s="632"/>
      <c r="H276" s="633"/>
      <c r="I276" s="586"/>
      <c r="J276" s="907"/>
      <c r="K276" s="872"/>
      <c r="L276" s="894"/>
      <c r="M276" s="894"/>
      <c r="N276" s="894"/>
      <c r="O276" s="105"/>
      <c r="P276" s="105"/>
      <c r="Q276" s="105"/>
      <c r="R276" s="105"/>
      <c r="S276" s="105"/>
      <c r="T276" s="105"/>
      <c r="U276" s="105"/>
      <c r="V276" s="105"/>
      <c r="W276" s="105"/>
      <c r="X276" s="105"/>
      <c r="Y276" s="105"/>
      <c r="Z276" s="105"/>
      <c r="AA276" s="105"/>
      <c r="AB276" s="105"/>
      <c r="AC276" s="105"/>
      <c r="AD276" s="105"/>
    </row>
    <row r="277" spans="1:30" s="82" customFormat="1" ht="20.25" customHeight="1">
      <c r="A277" s="566"/>
      <c r="B277" s="313"/>
      <c r="C277" s="630" t="s">
        <v>587</v>
      </c>
      <c r="D277" s="630"/>
      <c r="E277" s="631"/>
      <c r="F277" s="632"/>
      <c r="G277" s="632"/>
      <c r="H277" s="633"/>
      <c r="I277" s="586"/>
      <c r="J277" s="907"/>
      <c r="K277" s="872"/>
      <c r="L277" s="894"/>
      <c r="M277" s="894"/>
      <c r="N277" s="894"/>
      <c r="O277" s="105"/>
      <c r="P277" s="105"/>
      <c r="Q277" s="105"/>
      <c r="R277" s="105"/>
      <c r="S277" s="105"/>
      <c r="T277" s="105"/>
      <c r="U277" s="105"/>
      <c r="V277" s="105"/>
      <c r="W277" s="105"/>
      <c r="X277" s="105"/>
      <c r="Y277" s="105"/>
      <c r="Z277" s="105"/>
      <c r="AA277" s="105"/>
      <c r="AB277" s="105"/>
      <c r="AC277" s="105"/>
      <c r="AD277" s="105"/>
    </row>
    <row r="278" spans="1:30" s="82" customFormat="1" ht="20.25" customHeight="1">
      <c r="A278" s="566"/>
      <c r="B278" s="313"/>
      <c r="C278" s="630" t="s">
        <v>588</v>
      </c>
      <c r="D278" s="630"/>
      <c r="E278" s="631"/>
      <c r="F278" s="632"/>
      <c r="G278" s="632"/>
      <c r="H278" s="633"/>
      <c r="I278" s="586"/>
      <c r="J278" s="907"/>
      <c r="K278" s="872"/>
      <c r="L278" s="894"/>
      <c r="M278" s="894"/>
      <c r="N278" s="894"/>
      <c r="O278" s="105"/>
      <c r="P278" s="105"/>
      <c r="Q278" s="105"/>
      <c r="R278" s="105"/>
      <c r="S278" s="105"/>
      <c r="T278" s="105"/>
      <c r="U278" s="105"/>
      <c r="V278" s="105"/>
      <c r="W278" s="105"/>
      <c r="X278" s="105"/>
      <c r="Y278" s="105"/>
      <c r="Z278" s="105"/>
      <c r="AA278" s="105"/>
      <c r="AB278" s="105"/>
      <c r="AC278" s="105"/>
      <c r="AD278" s="105"/>
    </row>
    <row r="279" spans="1:30" s="82" customFormat="1" ht="20.25" customHeight="1">
      <c r="A279" s="566"/>
      <c r="B279" s="313"/>
      <c r="C279" s="630" t="s">
        <v>32</v>
      </c>
      <c r="D279" s="630"/>
      <c r="E279" s="631"/>
      <c r="F279" s="632"/>
      <c r="G279" s="632"/>
      <c r="H279" s="633"/>
      <c r="I279" s="586"/>
      <c r="J279" s="907"/>
      <c r="K279" s="872"/>
      <c r="L279" s="894"/>
      <c r="M279" s="894"/>
      <c r="N279" s="894"/>
      <c r="O279" s="105"/>
      <c r="P279" s="105"/>
      <c r="Q279" s="105"/>
      <c r="R279" s="105"/>
      <c r="S279" s="105"/>
      <c r="T279" s="105"/>
      <c r="U279" s="105"/>
      <c r="V279" s="105"/>
      <c r="W279" s="105"/>
      <c r="X279" s="105"/>
      <c r="Y279" s="105"/>
      <c r="Z279" s="105"/>
      <c r="AA279" s="105"/>
      <c r="AB279" s="105"/>
      <c r="AC279" s="105"/>
      <c r="AD279" s="105"/>
    </row>
    <row r="280" spans="1:30" s="82" customFormat="1" ht="18.75" customHeight="1">
      <c r="A280" s="566"/>
      <c r="B280" s="313" t="s">
        <v>369</v>
      </c>
      <c r="C280" s="630" t="s">
        <v>654</v>
      </c>
      <c r="D280" s="630"/>
      <c r="E280" s="631"/>
      <c r="F280" s="632"/>
      <c r="G280" s="632"/>
      <c r="H280" s="633"/>
      <c r="I280" s="586"/>
      <c r="J280" s="907"/>
      <c r="K280" s="872"/>
      <c r="L280" s="894"/>
      <c r="M280" s="894"/>
      <c r="N280" s="894"/>
      <c r="O280" s="105"/>
      <c r="P280" s="105"/>
      <c r="Q280" s="105"/>
      <c r="R280" s="105"/>
      <c r="S280" s="105"/>
      <c r="T280" s="105"/>
      <c r="U280" s="105"/>
      <c r="V280" s="105"/>
      <c r="W280" s="105"/>
      <c r="X280" s="105"/>
      <c r="Y280" s="105"/>
      <c r="Z280" s="105"/>
      <c r="AA280" s="105"/>
      <c r="AB280" s="105"/>
      <c r="AC280" s="105"/>
      <c r="AD280" s="105"/>
    </row>
    <row r="281" spans="1:30" s="82" customFormat="1" ht="20.25">
      <c r="A281" s="566"/>
      <c r="B281" s="313" t="s">
        <v>460</v>
      </c>
      <c r="C281" s="576" t="s">
        <v>655</v>
      </c>
      <c r="D281" s="576"/>
      <c r="E281" s="584"/>
      <c r="F281" s="585"/>
      <c r="G281" s="585"/>
      <c r="H281" s="578"/>
      <c r="I281" s="586"/>
      <c r="J281" s="907"/>
      <c r="K281" s="872"/>
      <c r="L281" s="894"/>
      <c r="M281" s="894"/>
      <c r="N281" s="894"/>
      <c r="O281" s="105"/>
      <c r="P281" s="105"/>
      <c r="Q281" s="105"/>
      <c r="R281" s="105"/>
      <c r="S281" s="105"/>
      <c r="T281" s="105"/>
      <c r="U281" s="105"/>
      <c r="V281" s="105"/>
      <c r="W281" s="105"/>
      <c r="X281" s="105"/>
      <c r="Y281" s="105"/>
      <c r="Z281" s="105"/>
      <c r="AA281" s="105"/>
      <c r="AB281" s="105"/>
      <c r="AC281" s="105"/>
      <c r="AD281" s="105"/>
    </row>
    <row r="282" spans="1:30" ht="20.25">
      <c r="A282" s="567"/>
      <c r="B282" s="587" t="s">
        <v>461</v>
      </c>
      <c r="C282" s="580" t="s">
        <v>537</v>
      </c>
      <c r="D282" s="580"/>
      <c r="E282" s="584"/>
      <c r="F282" s="585"/>
      <c r="G282" s="585"/>
      <c r="H282" s="578"/>
      <c r="I282" s="582"/>
      <c r="J282" s="909"/>
      <c r="K282" s="876"/>
      <c r="L282" s="877"/>
      <c r="M282" s="877"/>
      <c r="N282" s="877"/>
      <c r="O282" s="55"/>
      <c r="P282" s="55"/>
      <c r="Q282" s="55"/>
      <c r="R282" s="55"/>
      <c r="S282" s="55"/>
      <c r="T282" s="55"/>
      <c r="U282" s="55"/>
      <c r="V282" s="55"/>
      <c r="W282" s="55"/>
      <c r="X282" s="55"/>
      <c r="Y282" s="55"/>
      <c r="Z282" s="55"/>
      <c r="AA282" s="55"/>
      <c r="AB282" s="55"/>
      <c r="AC282" s="55"/>
      <c r="AD282" s="55"/>
    </row>
    <row r="283" spans="1:30" ht="20.25">
      <c r="A283" s="567"/>
      <c r="B283" s="587" t="s">
        <v>93</v>
      </c>
      <c r="C283" s="929" t="s">
        <v>146</v>
      </c>
      <c r="D283" s="580"/>
      <c r="E283" s="584"/>
      <c r="F283" s="585"/>
      <c r="G283" s="585"/>
      <c r="H283" s="578"/>
      <c r="I283" s="582"/>
      <c r="J283" s="910"/>
      <c r="K283" s="876"/>
      <c r="L283" s="877"/>
      <c r="M283" s="877"/>
      <c r="N283" s="877"/>
      <c r="O283" s="55"/>
      <c r="P283" s="55"/>
      <c r="Q283" s="55"/>
      <c r="R283" s="55"/>
      <c r="S283" s="55"/>
      <c r="T283" s="55"/>
      <c r="U283" s="55"/>
      <c r="V283" s="55"/>
      <c r="W283" s="55"/>
      <c r="X283" s="55"/>
      <c r="Y283" s="55"/>
      <c r="Z283" s="55"/>
      <c r="AA283" s="55"/>
      <c r="AB283" s="55"/>
      <c r="AC283" s="55"/>
      <c r="AD283" s="55"/>
    </row>
    <row r="284" spans="1:30" ht="20.25">
      <c r="A284" s="567"/>
      <c r="B284" s="587"/>
      <c r="C284" s="929" t="s">
        <v>136</v>
      </c>
      <c r="D284" s="581"/>
      <c r="E284" s="581"/>
      <c r="F284" s="585"/>
      <c r="G284" s="585"/>
      <c r="H284" s="578"/>
      <c r="I284" s="582"/>
      <c r="J284" s="909"/>
      <c r="K284" s="876"/>
      <c r="L284" s="877"/>
      <c r="M284" s="877"/>
      <c r="N284" s="877"/>
      <c r="O284" s="55"/>
      <c r="P284" s="55"/>
      <c r="Q284" s="55"/>
      <c r="R284" s="55"/>
      <c r="S284" s="55"/>
      <c r="T284" s="55"/>
      <c r="U284" s="55"/>
      <c r="V284" s="55"/>
      <c r="W284" s="55"/>
      <c r="X284" s="55"/>
      <c r="Y284" s="55"/>
      <c r="Z284" s="55"/>
      <c r="AA284" s="55"/>
      <c r="AB284" s="55"/>
      <c r="AC284" s="55"/>
      <c r="AD284" s="55"/>
    </row>
    <row r="285" spans="1:30" ht="20.25">
      <c r="A285" s="570"/>
      <c r="B285" s="802" t="s">
        <v>254</v>
      </c>
      <c r="C285" s="801" t="s">
        <v>556</v>
      </c>
      <c r="D285" s="580"/>
      <c r="E285" s="588"/>
      <c r="F285" s="588"/>
      <c r="G285" s="582"/>
      <c r="H285" s="582"/>
      <c r="I285" s="582"/>
      <c r="J285" s="910"/>
      <c r="K285" s="876"/>
      <c r="L285" s="877"/>
      <c r="M285" s="877"/>
      <c r="N285" s="877"/>
      <c r="O285" s="55"/>
      <c r="P285" s="55"/>
      <c r="Q285" s="55"/>
      <c r="R285" s="55"/>
      <c r="S285" s="55"/>
      <c r="T285" s="55"/>
      <c r="U285" s="55"/>
      <c r="V285" s="55"/>
      <c r="W285" s="55"/>
      <c r="X285" s="55"/>
      <c r="Y285" s="55"/>
      <c r="Z285" s="55"/>
      <c r="AA285" s="55"/>
      <c r="AB285" s="55"/>
      <c r="AC285" s="55"/>
      <c r="AD285" s="55"/>
    </row>
    <row r="286" spans="1:30" ht="20.25">
      <c r="A286" s="570"/>
      <c r="B286" s="580"/>
      <c r="C286" s="801" t="s">
        <v>232</v>
      </c>
      <c r="D286" s="580"/>
      <c r="E286" s="588"/>
      <c r="F286" s="588"/>
      <c r="G286" s="582"/>
      <c r="H286" s="582"/>
      <c r="I286" s="582"/>
      <c r="J286" s="910"/>
      <c r="K286" s="876"/>
      <c r="L286" s="877"/>
      <c r="M286" s="877"/>
      <c r="N286" s="877"/>
      <c r="O286" s="55"/>
      <c r="P286" s="55"/>
      <c r="Q286" s="55"/>
      <c r="R286" s="55"/>
      <c r="S286" s="55"/>
      <c r="T286" s="55"/>
      <c r="U286" s="55"/>
      <c r="V286" s="55"/>
      <c r="W286" s="55"/>
      <c r="X286" s="55"/>
      <c r="Y286" s="55"/>
      <c r="Z286" s="55"/>
      <c r="AA286" s="55"/>
      <c r="AB286" s="55"/>
      <c r="AC286" s="55"/>
      <c r="AD286" s="55"/>
    </row>
    <row r="287" spans="1:9" ht="20.25">
      <c r="A287" s="570"/>
      <c r="B287" s="580"/>
      <c r="C287" s="801" t="s">
        <v>497</v>
      </c>
      <c r="D287" s="580"/>
      <c r="E287" s="589"/>
      <c r="F287" s="588"/>
      <c r="G287" s="583"/>
      <c r="H287" s="583"/>
      <c r="I287" s="582"/>
    </row>
    <row r="288" spans="1:9" ht="20.25">
      <c r="A288" s="570"/>
      <c r="B288" s="802" t="s">
        <v>493</v>
      </c>
      <c r="C288" s="801" t="s">
        <v>494</v>
      </c>
      <c r="D288" s="580"/>
      <c r="E288" s="588"/>
      <c r="F288" s="588"/>
      <c r="G288" s="583"/>
      <c r="H288" s="583"/>
      <c r="I288" s="582"/>
    </row>
    <row r="289" spans="1:10" ht="20.25">
      <c r="A289" s="570"/>
      <c r="B289" s="580"/>
      <c r="C289" s="580" t="s">
        <v>644</v>
      </c>
      <c r="D289" s="580"/>
      <c r="E289" s="588"/>
      <c r="F289" s="588"/>
      <c r="G289" s="583"/>
      <c r="H289" s="583"/>
      <c r="I289" s="582"/>
      <c r="J289" s="583"/>
    </row>
    <row r="290" spans="1:11" ht="20.25">
      <c r="A290" s="570"/>
      <c r="B290" s="580"/>
      <c r="C290" s="580"/>
      <c r="D290" s="926"/>
      <c r="E290" s="926"/>
      <c r="F290" s="926"/>
      <c r="G290" s="926"/>
      <c r="H290" s="926"/>
      <c r="I290" s="926"/>
      <c r="J290" s="926"/>
      <c r="K290" s="926"/>
    </row>
    <row r="291" spans="1:11" ht="20.25">
      <c r="A291" s="570"/>
      <c r="B291" s="580"/>
      <c r="C291" s="50"/>
      <c r="D291" s="926"/>
      <c r="E291" s="926"/>
      <c r="F291" s="926"/>
      <c r="G291" s="926"/>
      <c r="H291" s="926"/>
      <c r="I291" s="926"/>
      <c r="J291" s="926"/>
      <c r="K291" s="926"/>
    </row>
    <row r="292" spans="1:11" ht="20.25">
      <c r="A292" s="570"/>
      <c r="B292" s="580"/>
      <c r="C292" s="50"/>
      <c r="D292" s="926"/>
      <c r="E292" s="926"/>
      <c r="F292" s="926"/>
      <c r="G292" s="926"/>
      <c r="H292" s="926"/>
      <c r="I292" s="926"/>
      <c r="J292" s="926"/>
      <c r="K292" s="926"/>
    </row>
    <row r="293" spans="1:11" ht="20.25">
      <c r="A293" s="570"/>
      <c r="B293" s="580"/>
      <c r="C293" s="50"/>
      <c r="D293" s="926"/>
      <c r="E293" s="926"/>
      <c r="F293" s="926"/>
      <c r="G293" s="926"/>
      <c r="H293" s="926"/>
      <c r="I293" s="926"/>
      <c r="J293" s="926"/>
      <c r="K293" s="926"/>
    </row>
    <row r="294" spans="1:10" ht="20.25">
      <c r="A294" s="570"/>
      <c r="B294" s="580"/>
      <c r="C294" s="50"/>
      <c r="D294" s="580"/>
      <c r="E294" s="590"/>
      <c r="F294" s="582"/>
      <c r="G294" s="583"/>
      <c r="H294" s="583"/>
      <c r="I294" s="582"/>
      <c r="J294" s="583"/>
    </row>
    <row r="295" spans="1:10" ht="20.25">
      <c r="A295" s="570"/>
      <c r="B295" s="580"/>
      <c r="C295" s="50"/>
      <c r="D295" s="580"/>
      <c r="E295" s="590"/>
      <c r="F295" s="582"/>
      <c r="G295" s="583"/>
      <c r="H295" s="583"/>
      <c r="I295" s="582"/>
      <c r="J295" s="583"/>
    </row>
    <row r="296" spans="1:10" ht="20.25">
      <c r="A296" s="570"/>
      <c r="B296" s="580"/>
      <c r="C296" s="50"/>
      <c r="D296" s="580"/>
      <c r="E296" s="590"/>
      <c r="F296" s="582"/>
      <c r="G296" s="583"/>
      <c r="H296" s="583"/>
      <c r="I296" s="582"/>
      <c r="J296" s="583"/>
    </row>
    <row r="297" spans="1:10" ht="20.25">
      <c r="A297" s="570"/>
      <c r="B297" s="580"/>
      <c r="C297" s="50"/>
      <c r="D297" s="580"/>
      <c r="E297" s="590"/>
      <c r="F297" s="582"/>
      <c r="G297" s="583"/>
      <c r="H297" s="583"/>
      <c r="I297" s="582"/>
      <c r="J297" s="583"/>
    </row>
    <row r="298" spans="1:10" ht="20.25">
      <c r="A298" s="570"/>
      <c r="B298" s="580"/>
      <c r="C298" s="580"/>
      <c r="D298" s="580"/>
      <c r="E298" s="590"/>
      <c r="F298" s="582"/>
      <c r="G298" s="583"/>
      <c r="H298" s="583"/>
      <c r="I298" s="582"/>
      <c r="J298" s="583"/>
    </row>
    <row r="299" spans="1:10" ht="20.25">
      <c r="A299" s="570"/>
      <c r="B299" s="580"/>
      <c r="C299" s="580"/>
      <c r="D299" s="580"/>
      <c r="E299" s="590"/>
      <c r="F299" s="582"/>
      <c r="G299" s="583"/>
      <c r="H299" s="583"/>
      <c r="I299" s="582"/>
      <c r="J299" s="583"/>
    </row>
    <row r="300" spans="1:10" ht="20.25">
      <c r="A300" s="570"/>
      <c r="B300" s="580"/>
      <c r="C300" s="580"/>
      <c r="D300" s="580"/>
      <c r="E300" s="590"/>
      <c r="F300" s="582"/>
      <c r="G300" s="583"/>
      <c r="H300" s="583"/>
      <c r="I300" s="582"/>
      <c r="J300" s="583"/>
    </row>
    <row r="301" spans="1:10" ht="20.25">
      <c r="A301" s="570"/>
      <c r="B301" s="580"/>
      <c r="C301" s="580"/>
      <c r="D301" s="580"/>
      <c r="E301" s="590"/>
      <c r="F301" s="582"/>
      <c r="G301" s="583"/>
      <c r="H301" s="583"/>
      <c r="I301" s="582"/>
      <c r="J301" s="583"/>
    </row>
    <row r="302" spans="1:10" ht="20.25">
      <c r="A302" s="570"/>
      <c r="B302" s="580"/>
      <c r="C302" s="580"/>
      <c r="D302" s="580"/>
      <c r="E302" s="590"/>
      <c r="F302" s="582"/>
      <c r="G302" s="583"/>
      <c r="H302" s="583"/>
      <c r="I302" s="582"/>
      <c r="J302" s="583"/>
    </row>
    <row r="303" spans="1:10" ht="20.25">
      <c r="A303" s="570"/>
      <c r="B303" s="580"/>
      <c r="C303" s="580"/>
      <c r="D303" s="580"/>
      <c r="E303" s="590"/>
      <c r="F303" s="582"/>
      <c r="G303" s="583"/>
      <c r="H303" s="583"/>
      <c r="I303" s="582"/>
      <c r="J303" s="583"/>
    </row>
    <row r="304" spans="1:10" ht="20.25">
      <c r="A304" s="570"/>
      <c r="B304" s="580"/>
      <c r="C304" s="580"/>
      <c r="D304" s="580"/>
      <c r="E304" s="590"/>
      <c r="F304" s="582"/>
      <c r="G304" s="583"/>
      <c r="H304" s="583"/>
      <c r="I304" s="582"/>
      <c r="J304" s="583"/>
    </row>
    <row r="305" spans="1:10" ht="20.25">
      <c r="A305" s="570"/>
      <c r="B305" s="580"/>
      <c r="C305" s="580"/>
      <c r="D305" s="580"/>
      <c r="E305" s="590"/>
      <c r="F305" s="582"/>
      <c r="G305" s="583"/>
      <c r="H305" s="583"/>
      <c r="I305" s="582"/>
      <c r="J305" s="583"/>
    </row>
    <row r="306" spans="1:10" ht="20.25">
      <c r="A306" s="570"/>
      <c r="B306" s="580"/>
      <c r="C306" s="580"/>
      <c r="D306" s="580"/>
      <c r="E306" s="590"/>
      <c r="F306" s="582"/>
      <c r="G306" s="583"/>
      <c r="H306" s="583"/>
      <c r="I306" s="582"/>
      <c r="J306" s="583"/>
    </row>
    <row r="307" spans="1:10" ht="20.25">
      <c r="A307" s="570"/>
      <c r="B307" s="580"/>
      <c r="C307" s="580"/>
      <c r="D307" s="580"/>
      <c r="E307" s="590"/>
      <c r="F307" s="582"/>
      <c r="G307" s="583"/>
      <c r="H307" s="583"/>
      <c r="I307" s="582"/>
      <c r="J307" s="583"/>
    </row>
    <row r="308" spans="1:10" ht="20.25">
      <c r="A308" s="570"/>
      <c r="B308" s="580"/>
      <c r="C308" s="580"/>
      <c r="D308" s="580"/>
      <c r="E308" s="590"/>
      <c r="F308" s="582"/>
      <c r="G308" s="583"/>
      <c r="H308" s="583"/>
      <c r="I308" s="582"/>
      <c r="J308" s="583"/>
    </row>
    <row r="309" spans="1:10" ht="20.25">
      <c r="A309" s="570"/>
      <c r="B309" s="580"/>
      <c r="C309" s="580"/>
      <c r="D309" s="580"/>
      <c r="E309" s="590"/>
      <c r="F309" s="582"/>
      <c r="G309" s="583"/>
      <c r="H309" s="583"/>
      <c r="I309" s="582"/>
      <c r="J309" s="583"/>
    </row>
    <row r="310" spans="1:10" ht="20.25">
      <c r="A310" s="570"/>
      <c r="B310" s="580"/>
      <c r="C310" s="580"/>
      <c r="D310" s="580"/>
      <c r="E310" s="590"/>
      <c r="F310" s="582"/>
      <c r="G310" s="583"/>
      <c r="H310" s="583"/>
      <c r="I310" s="582"/>
      <c r="J310" s="583"/>
    </row>
    <row r="311" spans="1:10" ht="20.25">
      <c r="A311" s="570"/>
      <c r="B311" s="580"/>
      <c r="C311" s="580"/>
      <c r="D311" s="580"/>
      <c r="E311" s="590"/>
      <c r="F311" s="582"/>
      <c r="G311" s="583"/>
      <c r="H311" s="583"/>
      <c r="I311" s="582"/>
      <c r="J311" s="583"/>
    </row>
    <row r="312" spans="1:10" ht="20.25">
      <c r="A312" s="570"/>
      <c r="B312" s="580"/>
      <c r="C312" s="580"/>
      <c r="D312" s="580"/>
      <c r="E312" s="590"/>
      <c r="F312" s="582"/>
      <c r="G312" s="583"/>
      <c r="H312" s="583"/>
      <c r="I312" s="582"/>
      <c r="J312" s="583"/>
    </row>
    <row r="313" spans="1:10" ht="20.25">
      <c r="A313" s="570"/>
      <c r="B313" s="580"/>
      <c r="C313" s="580"/>
      <c r="D313" s="580"/>
      <c r="E313" s="590"/>
      <c r="F313" s="582"/>
      <c r="G313" s="583"/>
      <c r="H313" s="583"/>
      <c r="I313" s="582"/>
      <c r="J313" s="583"/>
    </row>
    <row r="314" spans="1:10" ht="20.25">
      <c r="A314" s="570"/>
      <c r="B314" s="580"/>
      <c r="C314" s="580"/>
      <c r="D314" s="580"/>
      <c r="E314" s="590"/>
      <c r="F314" s="582"/>
      <c r="G314" s="583"/>
      <c r="H314" s="583"/>
      <c r="I314" s="582"/>
      <c r="J314" s="583"/>
    </row>
    <row r="315" spans="1:10" ht="20.25">
      <c r="A315" s="570"/>
      <c r="B315" s="580"/>
      <c r="C315" s="580"/>
      <c r="D315" s="580"/>
      <c r="E315" s="590"/>
      <c r="F315" s="582"/>
      <c r="G315" s="583"/>
      <c r="H315" s="583"/>
      <c r="I315" s="582"/>
      <c r="J315" s="583"/>
    </row>
    <row r="316" spans="1:10" ht="20.25">
      <c r="A316" s="570"/>
      <c r="B316" s="580"/>
      <c r="C316" s="580"/>
      <c r="D316" s="580"/>
      <c r="E316" s="590"/>
      <c r="F316" s="582"/>
      <c r="G316" s="583"/>
      <c r="H316" s="583"/>
      <c r="I316" s="582"/>
      <c r="J316" s="583"/>
    </row>
    <row r="317" spans="1:10" ht="20.25">
      <c r="A317" s="570"/>
      <c r="B317" s="580"/>
      <c r="C317" s="580"/>
      <c r="D317" s="580"/>
      <c r="E317" s="590"/>
      <c r="F317" s="582"/>
      <c r="G317" s="583"/>
      <c r="H317" s="583"/>
      <c r="I317" s="582"/>
      <c r="J317" s="583"/>
    </row>
    <row r="318" spans="1:10" ht="20.25">
      <c r="A318" s="570"/>
      <c r="B318" s="580"/>
      <c r="C318" s="580"/>
      <c r="D318" s="580"/>
      <c r="E318" s="590"/>
      <c r="F318" s="582"/>
      <c r="G318" s="583"/>
      <c r="H318" s="583"/>
      <c r="I318" s="582"/>
      <c r="J318" s="583"/>
    </row>
    <row r="319" spans="1:10" ht="20.25">
      <c r="A319" s="570"/>
      <c r="B319" s="580"/>
      <c r="C319" s="580"/>
      <c r="D319" s="580"/>
      <c r="E319" s="590"/>
      <c r="F319" s="582"/>
      <c r="G319" s="583"/>
      <c r="H319" s="583"/>
      <c r="I319" s="582"/>
      <c r="J319" s="583"/>
    </row>
    <row r="320" spans="1:10" ht="20.25">
      <c r="A320" s="570"/>
      <c r="B320" s="580"/>
      <c r="C320" s="580"/>
      <c r="D320" s="580"/>
      <c r="E320" s="590"/>
      <c r="F320" s="582"/>
      <c r="G320" s="583"/>
      <c r="H320" s="583"/>
      <c r="I320" s="582"/>
      <c r="J320" s="583"/>
    </row>
    <row r="321" spans="1:10" ht="20.25">
      <c r="A321" s="570"/>
      <c r="B321" s="580"/>
      <c r="C321" s="580"/>
      <c r="D321" s="580"/>
      <c r="E321" s="590"/>
      <c r="F321" s="582"/>
      <c r="G321" s="583"/>
      <c r="H321" s="583"/>
      <c r="I321" s="582"/>
      <c r="J321" s="583"/>
    </row>
    <row r="322" spans="1:10" ht="20.25">
      <c r="A322" s="570"/>
      <c r="B322" s="580"/>
      <c r="C322" s="580"/>
      <c r="D322" s="580"/>
      <c r="E322" s="590"/>
      <c r="F322" s="582"/>
      <c r="G322" s="583"/>
      <c r="H322" s="583"/>
      <c r="I322" s="582"/>
      <c r="J322" s="583"/>
    </row>
    <row r="323" spans="1:10" ht="20.25">
      <c r="A323" s="570"/>
      <c r="B323" s="580"/>
      <c r="C323" s="580"/>
      <c r="D323" s="580"/>
      <c r="E323" s="590"/>
      <c r="F323" s="582"/>
      <c r="G323" s="583"/>
      <c r="H323" s="583"/>
      <c r="I323" s="582"/>
      <c r="J323" s="583"/>
    </row>
    <row r="324" spans="1:10" ht="20.25">
      <c r="A324" s="570"/>
      <c r="B324" s="580"/>
      <c r="C324" s="580"/>
      <c r="D324" s="580"/>
      <c r="E324" s="590"/>
      <c r="F324" s="582"/>
      <c r="G324" s="583"/>
      <c r="H324" s="583"/>
      <c r="I324" s="582"/>
      <c r="J324" s="583"/>
    </row>
    <row r="325" spans="1:10" ht="20.25">
      <c r="A325" s="570"/>
      <c r="B325" s="580"/>
      <c r="C325" s="580"/>
      <c r="D325" s="580"/>
      <c r="E325" s="590"/>
      <c r="F325" s="582"/>
      <c r="G325" s="583"/>
      <c r="H325" s="583"/>
      <c r="I325" s="582"/>
      <c r="J325" s="583"/>
    </row>
    <row r="326" spans="1:10" ht="20.25">
      <c r="A326" s="570"/>
      <c r="B326" s="580"/>
      <c r="C326" s="580"/>
      <c r="D326" s="580"/>
      <c r="E326" s="590"/>
      <c r="F326" s="582"/>
      <c r="G326" s="583"/>
      <c r="H326" s="583"/>
      <c r="I326" s="582"/>
      <c r="J326" s="583"/>
    </row>
    <row r="327" spans="1:10" ht="20.25">
      <c r="A327" s="570"/>
      <c r="B327" s="580"/>
      <c r="C327" s="580"/>
      <c r="D327" s="580"/>
      <c r="E327" s="590"/>
      <c r="F327" s="582"/>
      <c r="G327" s="583"/>
      <c r="H327" s="583"/>
      <c r="I327" s="582"/>
      <c r="J327" s="583"/>
    </row>
    <row r="328" spans="1:10" ht="20.25">
      <c r="A328" s="570"/>
      <c r="B328" s="580"/>
      <c r="C328" s="580"/>
      <c r="D328" s="580"/>
      <c r="E328" s="590"/>
      <c r="F328" s="582"/>
      <c r="G328" s="583"/>
      <c r="H328" s="583"/>
      <c r="I328" s="582"/>
      <c r="J328" s="583"/>
    </row>
    <row r="329" spans="1:10" ht="20.25">
      <c r="A329" s="570"/>
      <c r="B329" s="580"/>
      <c r="C329" s="580"/>
      <c r="D329" s="580"/>
      <c r="E329" s="590"/>
      <c r="F329" s="582"/>
      <c r="G329" s="583"/>
      <c r="H329" s="583"/>
      <c r="I329" s="582"/>
      <c r="J329" s="583"/>
    </row>
    <row r="330" spans="1:10" ht="20.25">
      <c r="A330" s="570"/>
      <c r="B330" s="580"/>
      <c r="C330" s="580"/>
      <c r="D330" s="580"/>
      <c r="E330" s="590"/>
      <c r="F330" s="582"/>
      <c r="G330" s="583"/>
      <c r="H330" s="583"/>
      <c r="I330" s="582"/>
      <c r="J330" s="583"/>
    </row>
    <row r="331" spans="1:10" ht="20.25">
      <c r="A331" s="570"/>
      <c r="B331" s="580"/>
      <c r="C331" s="580"/>
      <c r="D331" s="580"/>
      <c r="E331" s="590"/>
      <c r="F331" s="582"/>
      <c r="G331" s="583"/>
      <c r="H331" s="583"/>
      <c r="I331" s="582"/>
      <c r="J331" s="583"/>
    </row>
    <row r="332" spans="1:10" ht="20.25">
      <c r="A332" s="570"/>
      <c r="B332" s="580"/>
      <c r="C332" s="580"/>
      <c r="D332" s="580"/>
      <c r="E332" s="590"/>
      <c r="F332" s="582"/>
      <c r="G332" s="583"/>
      <c r="H332" s="583"/>
      <c r="I332" s="582"/>
      <c r="J332" s="583"/>
    </row>
    <row r="333" spans="1:10" ht="20.25">
      <c r="A333" s="570"/>
      <c r="B333" s="580"/>
      <c r="C333" s="580"/>
      <c r="D333" s="580"/>
      <c r="E333" s="590"/>
      <c r="F333" s="582"/>
      <c r="G333" s="583"/>
      <c r="H333" s="583"/>
      <c r="I333" s="582"/>
      <c r="J333" s="583"/>
    </row>
    <row r="334" spans="1:10" ht="20.25">
      <c r="A334" s="570"/>
      <c r="B334" s="580"/>
      <c r="C334" s="580"/>
      <c r="D334" s="580"/>
      <c r="E334" s="590"/>
      <c r="F334" s="582"/>
      <c r="G334" s="583"/>
      <c r="H334" s="583"/>
      <c r="I334" s="582"/>
      <c r="J334" s="583"/>
    </row>
    <row r="335" spans="1:10" ht="20.25">
      <c r="A335" s="570"/>
      <c r="B335" s="580"/>
      <c r="C335" s="580"/>
      <c r="D335" s="580"/>
      <c r="E335" s="590"/>
      <c r="F335" s="582"/>
      <c r="G335" s="583"/>
      <c r="H335" s="583"/>
      <c r="I335" s="582"/>
      <c r="J335" s="583"/>
    </row>
    <row r="336" spans="1:10" ht="20.25">
      <c r="A336" s="570"/>
      <c r="B336" s="580"/>
      <c r="C336" s="580"/>
      <c r="D336" s="580"/>
      <c r="E336" s="590"/>
      <c r="F336" s="582"/>
      <c r="G336" s="583"/>
      <c r="H336" s="583"/>
      <c r="I336" s="582"/>
      <c r="J336" s="583"/>
    </row>
    <row r="337" spans="1:10" ht="20.25">
      <c r="A337" s="570"/>
      <c r="B337" s="580"/>
      <c r="C337" s="580"/>
      <c r="D337" s="580"/>
      <c r="E337" s="590"/>
      <c r="F337" s="582"/>
      <c r="G337" s="583"/>
      <c r="H337" s="583"/>
      <c r="I337" s="582"/>
      <c r="J337" s="583"/>
    </row>
    <row r="338" spans="1:10" ht="20.25">
      <c r="A338" s="570"/>
      <c r="B338" s="580"/>
      <c r="C338" s="580"/>
      <c r="D338" s="580"/>
      <c r="E338" s="590"/>
      <c r="F338" s="582"/>
      <c r="G338" s="583"/>
      <c r="H338" s="583"/>
      <c r="I338" s="582"/>
      <c r="J338" s="583"/>
    </row>
    <row r="339" spans="1:10" ht="20.25">
      <c r="A339" s="570"/>
      <c r="B339" s="580"/>
      <c r="C339" s="580"/>
      <c r="D339" s="580"/>
      <c r="E339" s="590"/>
      <c r="F339" s="582"/>
      <c r="G339" s="583"/>
      <c r="H339" s="583"/>
      <c r="I339" s="582"/>
      <c r="J339" s="583"/>
    </row>
    <row r="340" spans="1:10" ht="20.25">
      <c r="A340" s="570"/>
      <c r="B340" s="580"/>
      <c r="C340" s="580"/>
      <c r="D340" s="580"/>
      <c r="E340" s="590"/>
      <c r="F340" s="582"/>
      <c r="G340" s="583"/>
      <c r="H340" s="583"/>
      <c r="I340" s="582"/>
      <c r="J340" s="583"/>
    </row>
    <row r="341" spans="1:10" ht="20.25">
      <c r="A341" s="570"/>
      <c r="B341" s="580"/>
      <c r="C341" s="580"/>
      <c r="D341" s="580"/>
      <c r="E341" s="590"/>
      <c r="F341" s="582"/>
      <c r="G341" s="583"/>
      <c r="H341" s="583"/>
      <c r="I341" s="582"/>
      <c r="J341" s="583"/>
    </row>
    <row r="342" spans="1:10" ht="20.25">
      <c r="A342" s="570"/>
      <c r="B342" s="580"/>
      <c r="C342" s="580"/>
      <c r="D342" s="580"/>
      <c r="E342" s="590"/>
      <c r="F342" s="582"/>
      <c r="G342" s="583"/>
      <c r="H342" s="583"/>
      <c r="I342" s="582"/>
      <c r="J342" s="583"/>
    </row>
    <row r="343" spans="1:10" ht="20.25">
      <c r="A343" s="570"/>
      <c r="B343" s="580"/>
      <c r="C343" s="580"/>
      <c r="D343" s="580"/>
      <c r="E343" s="590"/>
      <c r="F343" s="582"/>
      <c r="G343" s="583"/>
      <c r="H343" s="583"/>
      <c r="I343" s="582"/>
      <c r="J343" s="583"/>
    </row>
    <row r="344" spans="1:10" ht="20.25">
      <c r="A344" s="570"/>
      <c r="B344" s="580"/>
      <c r="C344" s="580"/>
      <c r="D344" s="580"/>
      <c r="E344" s="590"/>
      <c r="F344" s="582"/>
      <c r="G344" s="583"/>
      <c r="H344" s="583"/>
      <c r="I344" s="582"/>
      <c r="J344" s="583"/>
    </row>
    <row r="345" spans="1:10" ht="20.25">
      <c r="A345" s="570"/>
      <c r="B345" s="580"/>
      <c r="C345" s="580"/>
      <c r="D345" s="580"/>
      <c r="E345" s="590"/>
      <c r="F345" s="582"/>
      <c r="G345" s="583"/>
      <c r="H345" s="583"/>
      <c r="I345" s="582"/>
      <c r="J345" s="583"/>
    </row>
    <row r="346" spans="1:10" ht="20.25">
      <c r="A346" s="570"/>
      <c r="B346" s="580"/>
      <c r="C346" s="580"/>
      <c r="D346" s="580"/>
      <c r="E346" s="590"/>
      <c r="F346" s="582"/>
      <c r="G346" s="583"/>
      <c r="H346" s="583"/>
      <c r="I346" s="582"/>
      <c r="J346" s="583"/>
    </row>
    <row r="347" spans="1:10" ht="20.25">
      <c r="A347" s="570"/>
      <c r="B347" s="580"/>
      <c r="C347" s="580"/>
      <c r="D347" s="580"/>
      <c r="E347" s="590"/>
      <c r="F347" s="582"/>
      <c r="G347" s="583"/>
      <c r="H347" s="583"/>
      <c r="I347" s="582"/>
      <c r="J347" s="583"/>
    </row>
    <row r="348" spans="1:10" ht="20.25">
      <c r="A348" s="570"/>
      <c r="B348" s="580"/>
      <c r="C348" s="580"/>
      <c r="D348" s="580"/>
      <c r="E348" s="590"/>
      <c r="F348" s="582"/>
      <c r="G348" s="583"/>
      <c r="H348" s="583"/>
      <c r="I348" s="582"/>
      <c r="J348" s="583"/>
    </row>
    <row r="349" spans="1:10" ht="20.25">
      <c r="A349" s="570"/>
      <c r="B349" s="580"/>
      <c r="C349" s="580"/>
      <c r="D349" s="580"/>
      <c r="E349" s="590"/>
      <c r="F349" s="582"/>
      <c r="G349" s="583"/>
      <c r="H349" s="583"/>
      <c r="I349" s="582"/>
      <c r="J349" s="583"/>
    </row>
    <row r="350" spans="1:10" ht="20.25">
      <c r="A350" s="570"/>
      <c r="B350" s="580"/>
      <c r="C350" s="580"/>
      <c r="D350" s="580"/>
      <c r="E350" s="590"/>
      <c r="F350" s="582"/>
      <c r="G350" s="583"/>
      <c r="H350" s="583"/>
      <c r="I350" s="582"/>
      <c r="J350" s="583"/>
    </row>
    <row r="351" spans="1:10" ht="20.25">
      <c r="A351" s="570"/>
      <c r="B351" s="580"/>
      <c r="C351" s="580"/>
      <c r="D351" s="580"/>
      <c r="E351" s="590"/>
      <c r="F351" s="582"/>
      <c r="G351" s="583"/>
      <c r="H351" s="583"/>
      <c r="I351" s="582"/>
      <c r="J351" s="583"/>
    </row>
    <row r="352" spans="1:10" ht="20.25">
      <c r="A352" s="570"/>
      <c r="B352" s="580"/>
      <c r="C352" s="580"/>
      <c r="D352" s="580"/>
      <c r="E352" s="590"/>
      <c r="F352" s="582"/>
      <c r="G352" s="583"/>
      <c r="H352" s="583"/>
      <c r="I352" s="582"/>
      <c r="J352" s="583"/>
    </row>
    <row r="353" spans="1:10" ht="20.25">
      <c r="A353" s="570"/>
      <c r="B353" s="580"/>
      <c r="C353" s="580"/>
      <c r="D353" s="580"/>
      <c r="E353" s="590"/>
      <c r="F353" s="582"/>
      <c r="G353" s="583"/>
      <c r="H353" s="583"/>
      <c r="I353" s="582"/>
      <c r="J353" s="583"/>
    </row>
    <row r="354" spans="1:10" ht="20.25">
      <c r="A354" s="570"/>
      <c r="B354" s="580"/>
      <c r="C354" s="580"/>
      <c r="D354" s="580"/>
      <c r="E354" s="590"/>
      <c r="F354" s="582"/>
      <c r="G354" s="583"/>
      <c r="H354" s="583"/>
      <c r="I354" s="582"/>
      <c r="J354" s="583"/>
    </row>
    <row r="355" spans="1:10" ht="20.25">
      <c r="A355" s="570"/>
      <c r="B355" s="580"/>
      <c r="C355" s="580"/>
      <c r="D355" s="580"/>
      <c r="E355" s="590"/>
      <c r="F355" s="582"/>
      <c r="G355" s="583"/>
      <c r="H355" s="583"/>
      <c r="I355" s="582"/>
      <c r="J355" s="583"/>
    </row>
    <row r="356" spans="1:10" ht="20.25">
      <c r="A356" s="570"/>
      <c r="B356" s="580"/>
      <c r="C356" s="580"/>
      <c r="D356" s="580"/>
      <c r="E356" s="590"/>
      <c r="F356" s="582"/>
      <c r="G356" s="583"/>
      <c r="H356" s="583"/>
      <c r="I356" s="582"/>
      <c r="J356" s="583"/>
    </row>
    <row r="357" spans="1:10" ht="20.25">
      <c r="A357" s="570"/>
      <c r="B357" s="580"/>
      <c r="C357" s="580"/>
      <c r="D357" s="580"/>
      <c r="E357" s="590"/>
      <c r="F357" s="582"/>
      <c r="G357" s="583"/>
      <c r="H357" s="583"/>
      <c r="I357" s="582"/>
      <c r="J357" s="583"/>
    </row>
    <row r="358" spans="1:10" ht="20.25">
      <c r="A358" s="570"/>
      <c r="B358" s="580"/>
      <c r="C358" s="580"/>
      <c r="D358" s="580"/>
      <c r="E358" s="590"/>
      <c r="F358" s="582"/>
      <c r="G358" s="583"/>
      <c r="H358" s="583"/>
      <c r="I358" s="582"/>
      <c r="J358" s="583"/>
    </row>
    <row r="359" spans="1:10" ht="20.25">
      <c r="A359" s="570"/>
      <c r="B359" s="580"/>
      <c r="C359" s="580"/>
      <c r="D359" s="580"/>
      <c r="E359" s="590"/>
      <c r="F359" s="582"/>
      <c r="G359" s="583"/>
      <c r="H359" s="583"/>
      <c r="I359" s="582"/>
      <c r="J359" s="583"/>
    </row>
    <row r="360" spans="1:10" ht="20.25">
      <c r="A360" s="570"/>
      <c r="B360" s="580"/>
      <c r="C360" s="580"/>
      <c r="D360" s="580"/>
      <c r="E360" s="590"/>
      <c r="F360" s="582"/>
      <c r="G360" s="583"/>
      <c r="H360" s="583"/>
      <c r="I360" s="582"/>
      <c r="J360" s="583"/>
    </row>
    <row r="361" spans="1:10" ht="20.25">
      <c r="A361" s="570"/>
      <c r="B361" s="580"/>
      <c r="C361" s="580"/>
      <c r="D361" s="580"/>
      <c r="E361" s="590"/>
      <c r="F361" s="582"/>
      <c r="G361" s="583"/>
      <c r="H361" s="583"/>
      <c r="I361" s="582"/>
      <c r="J361" s="583"/>
    </row>
    <row r="362" spans="1:10" ht="20.25">
      <c r="A362" s="570"/>
      <c r="B362" s="580"/>
      <c r="C362" s="580"/>
      <c r="D362" s="580"/>
      <c r="E362" s="590"/>
      <c r="F362" s="582"/>
      <c r="G362" s="583"/>
      <c r="H362" s="583"/>
      <c r="I362" s="582"/>
      <c r="J362" s="583"/>
    </row>
    <row r="363" spans="1:10" ht="20.25">
      <c r="A363" s="570"/>
      <c r="B363" s="580"/>
      <c r="C363" s="580"/>
      <c r="D363" s="580"/>
      <c r="E363" s="590"/>
      <c r="F363" s="582"/>
      <c r="G363" s="583"/>
      <c r="H363" s="583"/>
      <c r="I363" s="582"/>
      <c r="J363" s="583"/>
    </row>
    <row r="364" spans="1:10" ht="20.25">
      <c r="A364" s="570"/>
      <c r="B364" s="580"/>
      <c r="C364" s="580"/>
      <c r="D364" s="580"/>
      <c r="E364" s="590"/>
      <c r="F364" s="582"/>
      <c r="G364" s="583"/>
      <c r="H364" s="583"/>
      <c r="I364" s="582"/>
      <c r="J364" s="583"/>
    </row>
    <row r="365" spans="1:10" ht="20.25">
      <c r="A365" s="570"/>
      <c r="B365" s="580"/>
      <c r="C365" s="580"/>
      <c r="D365" s="580"/>
      <c r="E365" s="590"/>
      <c r="F365" s="582"/>
      <c r="G365" s="583"/>
      <c r="H365" s="583"/>
      <c r="I365" s="582"/>
      <c r="J365" s="583"/>
    </row>
    <row r="366" spans="1:10" ht="20.25">
      <c r="A366" s="570"/>
      <c r="B366" s="580"/>
      <c r="C366" s="580"/>
      <c r="D366" s="580"/>
      <c r="E366" s="590"/>
      <c r="F366" s="582"/>
      <c r="G366" s="583"/>
      <c r="H366" s="583"/>
      <c r="I366" s="582"/>
      <c r="J366" s="583"/>
    </row>
    <row r="367" spans="1:10" ht="20.25">
      <c r="A367" s="570"/>
      <c r="B367" s="580"/>
      <c r="C367" s="580"/>
      <c r="D367" s="580"/>
      <c r="E367" s="590"/>
      <c r="F367" s="582"/>
      <c r="G367" s="583"/>
      <c r="H367" s="583"/>
      <c r="I367" s="582"/>
      <c r="J367" s="583"/>
    </row>
    <row r="368" spans="1:10" ht="20.25">
      <c r="A368" s="570"/>
      <c r="B368" s="580"/>
      <c r="C368" s="580"/>
      <c r="D368" s="580"/>
      <c r="E368" s="590"/>
      <c r="F368" s="582"/>
      <c r="G368" s="583"/>
      <c r="H368" s="583"/>
      <c r="I368" s="582"/>
      <c r="J368" s="583"/>
    </row>
    <row r="369" spans="1:10" ht="20.25">
      <c r="A369" s="570"/>
      <c r="B369" s="580"/>
      <c r="C369" s="580"/>
      <c r="D369" s="580"/>
      <c r="E369" s="590"/>
      <c r="F369" s="582"/>
      <c r="G369" s="583"/>
      <c r="H369" s="583"/>
      <c r="I369" s="582"/>
      <c r="J369" s="583"/>
    </row>
    <row r="370" spans="1:10" ht="20.25">
      <c r="A370" s="570"/>
      <c r="B370" s="580"/>
      <c r="C370" s="580"/>
      <c r="D370" s="580"/>
      <c r="E370" s="590"/>
      <c r="F370" s="582"/>
      <c r="G370" s="583"/>
      <c r="H370" s="583"/>
      <c r="I370" s="582"/>
      <c r="J370" s="583"/>
    </row>
    <row r="371" spans="1:10" ht="20.25">
      <c r="A371" s="570"/>
      <c r="B371" s="580"/>
      <c r="C371" s="580"/>
      <c r="D371" s="580"/>
      <c r="E371" s="590"/>
      <c r="F371" s="582"/>
      <c r="G371" s="583"/>
      <c r="H371" s="583"/>
      <c r="I371" s="582"/>
      <c r="J371" s="583"/>
    </row>
    <row r="372" spans="1:10" ht="20.25">
      <c r="A372" s="570"/>
      <c r="B372" s="580"/>
      <c r="C372" s="580"/>
      <c r="D372" s="580"/>
      <c r="E372" s="590"/>
      <c r="F372" s="582"/>
      <c r="G372" s="583"/>
      <c r="H372" s="583"/>
      <c r="I372" s="582"/>
      <c r="J372" s="583"/>
    </row>
    <row r="373" spans="1:10" ht="20.25">
      <c r="A373" s="570"/>
      <c r="B373" s="580"/>
      <c r="C373" s="580"/>
      <c r="D373" s="580"/>
      <c r="E373" s="590"/>
      <c r="F373" s="582"/>
      <c r="G373" s="583"/>
      <c r="H373" s="583"/>
      <c r="I373" s="582"/>
      <c r="J373" s="583"/>
    </row>
    <row r="374" spans="1:10" ht="20.25">
      <c r="A374" s="570"/>
      <c r="B374" s="580"/>
      <c r="C374" s="580"/>
      <c r="D374" s="580"/>
      <c r="E374" s="590"/>
      <c r="F374" s="582"/>
      <c r="G374" s="583"/>
      <c r="H374" s="583"/>
      <c r="I374" s="582"/>
      <c r="J374" s="583"/>
    </row>
    <row r="375" spans="1:10" ht="20.25">
      <c r="A375" s="570"/>
      <c r="B375" s="580"/>
      <c r="C375" s="580"/>
      <c r="D375" s="580"/>
      <c r="E375" s="590"/>
      <c r="F375" s="582"/>
      <c r="G375" s="583"/>
      <c r="H375" s="583"/>
      <c r="I375" s="582"/>
      <c r="J375" s="583"/>
    </row>
    <row r="376" spans="1:10" ht="20.25">
      <c r="A376" s="570"/>
      <c r="B376" s="580"/>
      <c r="C376" s="580"/>
      <c r="D376" s="580"/>
      <c r="E376" s="590"/>
      <c r="F376" s="582"/>
      <c r="G376" s="583"/>
      <c r="H376" s="583"/>
      <c r="I376" s="582"/>
      <c r="J376" s="583"/>
    </row>
    <row r="377" spans="1:10" ht="20.25">
      <c r="A377" s="570"/>
      <c r="B377" s="580"/>
      <c r="C377" s="580"/>
      <c r="D377" s="580"/>
      <c r="E377" s="590"/>
      <c r="F377" s="582"/>
      <c r="G377" s="583"/>
      <c r="H377" s="583"/>
      <c r="I377" s="582"/>
      <c r="J377" s="583"/>
    </row>
    <row r="378" spans="1:10" ht="20.25">
      <c r="A378" s="570"/>
      <c r="B378" s="580"/>
      <c r="C378" s="580"/>
      <c r="D378" s="580"/>
      <c r="E378" s="590"/>
      <c r="F378" s="582"/>
      <c r="G378" s="583"/>
      <c r="H378" s="583"/>
      <c r="I378" s="582"/>
      <c r="J378" s="583"/>
    </row>
    <row r="379" spans="1:10" ht="20.25">
      <c r="A379" s="570"/>
      <c r="B379" s="580"/>
      <c r="C379" s="580"/>
      <c r="D379" s="580"/>
      <c r="E379" s="590"/>
      <c r="F379" s="582"/>
      <c r="G379" s="583"/>
      <c r="H379" s="583"/>
      <c r="I379" s="582"/>
      <c r="J379" s="583"/>
    </row>
    <row r="380" spans="1:10" ht="20.25">
      <c r="A380" s="570"/>
      <c r="B380" s="580"/>
      <c r="C380" s="580"/>
      <c r="D380" s="580"/>
      <c r="E380" s="590"/>
      <c r="F380" s="582"/>
      <c r="G380" s="583"/>
      <c r="H380" s="583"/>
      <c r="I380" s="582"/>
      <c r="J380" s="583"/>
    </row>
    <row r="381" spans="1:10" ht="20.25">
      <c r="A381" s="570"/>
      <c r="B381" s="580"/>
      <c r="C381" s="580"/>
      <c r="D381" s="580"/>
      <c r="E381" s="590"/>
      <c r="F381" s="582"/>
      <c r="G381" s="583"/>
      <c r="H381" s="583"/>
      <c r="I381" s="582"/>
      <c r="J381" s="583"/>
    </row>
    <row r="382" spans="1:10" ht="20.25">
      <c r="A382" s="570"/>
      <c r="B382" s="580"/>
      <c r="C382" s="580"/>
      <c r="D382" s="580"/>
      <c r="E382" s="590"/>
      <c r="F382" s="582"/>
      <c r="G382" s="583"/>
      <c r="H382" s="583"/>
      <c r="I382" s="582"/>
      <c r="J382" s="583"/>
    </row>
    <row r="383" spans="1:10" ht="20.25">
      <c r="A383" s="570"/>
      <c r="B383" s="580"/>
      <c r="C383" s="580"/>
      <c r="D383" s="580"/>
      <c r="E383" s="590"/>
      <c r="F383" s="582"/>
      <c r="G383" s="583"/>
      <c r="H383" s="583"/>
      <c r="I383" s="582"/>
      <c r="J383" s="583"/>
    </row>
    <row r="384" spans="1:10" ht="20.25">
      <c r="A384" s="570"/>
      <c r="B384" s="580"/>
      <c r="C384" s="580"/>
      <c r="D384" s="580"/>
      <c r="E384" s="590"/>
      <c r="F384" s="582"/>
      <c r="G384" s="583"/>
      <c r="H384" s="583"/>
      <c r="I384" s="582"/>
      <c r="J384" s="583"/>
    </row>
    <row r="385" spans="1:10" ht="20.25">
      <c r="A385" s="570"/>
      <c r="B385" s="580"/>
      <c r="C385" s="580"/>
      <c r="D385" s="580"/>
      <c r="E385" s="590"/>
      <c r="F385" s="582"/>
      <c r="G385" s="583"/>
      <c r="H385" s="583"/>
      <c r="I385" s="582"/>
      <c r="J385" s="583"/>
    </row>
    <row r="386" spans="1:10" ht="20.25">
      <c r="A386" s="570"/>
      <c r="B386" s="580"/>
      <c r="C386" s="580"/>
      <c r="D386" s="580"/>
      <c r="E386" s="590"/>
      <c r="F386" s="582"/>
      <c r="G386" s="583"/>
      <c r="H386" s="583"/>
      <c r="I386" s="582"/>
      <c r="J386" s="583"/>
    </row>
    <row r="387" spans="1:10" ht="20.25">
      <c r="A387" s="570"/>
      <c r="B387" s="580"/>
      <c r="C387" s="580"/>
      <c r="D387" s="580"/>
      <c r="E387" s="590"/>
      <c r="F387" s="582"/>
      <c r="G387" s="583"/>
      <c r="H387" s="583"/>
      <c r="I387" s="582"/>
      <c r="J387" s="583"/>
    </row>
    <row r="388" spans="1:10" ht="20.25">
      <c r="A388" s="570"/>
      <c r="B388" s="580"/>
      <c r="C388" s="580"/>
      <c r="D388" s="580"/>
      <c r="E388" s="590"/>
      <c r="F388" s="582"/>
      <c r="G388" s="583"/>
      <c r="H388" s="583"/>
      <c r="I388" s="582"/>
      <c r="J388" s="583"/>
    </row>
    <row r="389" spans="1:10" ht="20.25">
      <c r="A389" s="570"/>
      <c r="B389" s="580"/>
      <c r="C389" s="580"/>
      <c r="D389" s="580"/>
      <c r="E389" s="590"/>
      <c r="F389" s="582"/>
      <c r="G389" s="583"/>
      <c r="H389" s="583"/>
      <c r="I389" s="582"/>
      <c r="J389" s="583"/>
    </row>
    <row r="390" spans="1:10" ht="20.25">
      <c r="A390" s="570"/>
      <c r="B390" s="580"/>
      <c r="C390" s="580"/>
      <c r="D390" s="580"/>
      <c r="E390" s="590"/>
      <c r="F390" s="582"/>
      <c r="G390" s="583"/>
      <c r="H390" s="583"/>
      <c r="I390" s="582"/>
      <c r="J390" s="583"/>
    </row>
    <row r="391" spans="1:10" ht="20.25">
      <c r="A391" s="570"/>
      <c r="B391" s="580"/>
      <c r="C391" s="580"/>
      <c r="D391" s="580"/>
      <c r="E391" s="590"/>
      <c r="F391" s="582"/>
      <c r="G391" s="583"/>
      <c r="H391" s="583"/>
      <c r="I391" s="582"/>
      <c r="J391" s="583"/>
    </row>
    <row r="392" spans="1:10" ht="20.25">
      <c r="A392" s="570"/>
      <c r="B392" s="580"/>
      <c r="C392" s="580"/>
      <c r="D392" s="580"/>
      <c r="E392" s="590"/>
      <c r="F392" s="582"/>
      <c r="G392" s="583"/>
      <c r="H392" s="583"/>
      <c r="I392" s="582"/>
      <c r="J392" s="583"/>
    </row>
    <row r="393" spans="1:10" ht="20.25">
      <c r="A393" s="570"/>
      <c r="B393" s="580"/>
      <c r="C393" s="580"/>
      <c r="D393" s="580"/>
      <c r="E393" s="590"/>
      <c r="F393" s="582"/>
      <c r="G393" s="583"/>
      <c r="H393" s="583"/>
      <c r="I393" s="582"/>
      <c r="J393" s="583"/>
    </row>
    <row r="394" spans="1:10" ht="20.25">
      <c r="A394" s="570"/>
      <c r="B394" s="580"/>
      <c r="C394" s="580"/>
      <c r="D394" s="580"/>
      <c r="E394" s="590"/>
      <c r="F394" s="582"/>
      <c r="G394" s="583"/>
      <c r="H394" s="583"/>
      <c r="I394" s="582"/>
      <c r="J394" s="583"/>
    </row>
    <row r="395" spans="1:10" ht="20.25">
      <c r="A395" s="570"/>
      <c r="B395" s="580"/>
      <c r="C395" s="580"/>
      <c r="D395" s="580"/>
      <c r="E395" s="590"/>
      <c r="F395" s="582"/>
      <c r="G395" s="583"/>
      <c r="H395" s="583"/>
      <c r="I395" s="582"/>
      <c r="J395" s="583"/>
    </row>
    <row r="396" spans="1:10" ht="20.25">
      <c r="A396" s="570"/>
      <c r="B396" s="580"/>
      <c r="C396" s="580"/>
      <c r="D396" s="580"/>
      <c r="E396" s="590"/>
      <c r="F396" s="582"/>
      <c r="G396" s="583"/>
      <c r="H396" s="583"/>
      <c r="I396" s="582"/>
      <c r="J396" s="583"/>
    </row>
    <row r="397" spans="1:10" ht="20.25">
      <c r="A397" s="570"/>
      <c r="B397" s="580"/>
      <c r="C397" s="580"/>
      <c r="D397" s="580"/>
      <c r="E397" s="590"/>
      <c r="F397" s="582"/>
      <c r="G397" s="583"/>
      <c r="H397" s="583"/>
      <c r="I397" s="582"/>
      <c r="J397" s="583"/>
    </row>
    <row r="398" spans="1:10" ht="20.25">
      <c r="A398" s="570"/>
      <c r="B398" s="580"/>
      <c r="C398" s="580"/>
      <c r="D398" s="580"/>
      <c r="E398" s="590"/>
      <c r="F398" s="582"/>
      <c r="G398" s="583"/>
      <c r="H398" s="583"/>
      <c r="I398" s="582"/>
      <c r="J398" s="583"/>
    </row>
    <row r="399" spans="1:10" ht="20.25">
      <c r="A399" s="570"/>
      <c r="B399" s="580"/>
      <c r="C399" s="580"/>
      <c r="D399" s="580"/>
      <c r="E399" s="590"/>
      <c r="F399" s="582"/>
      <c r="G399" s="583"/>
      <c r="H399" s="583"/>
      <c r="I399" s="582"/>
      <c r="J399" s="583"/>
    </row>
    <row r="400" spans="1:10" ht="20.25">
      <c r="A400" s="570"/>
      <c r="B400" s="580"/>
      <c r="C400" s="580"/>
      <c r="D400" s="580"/>
      <c r="E400" s="590"/>
      <c r="F400" s="582"/>
      <c r="G400" s="583"/>
      <c r="H400" s="583"/>
      <c r="I400" s="582"/>
      <c r="J400" s="583"/>
    </row>
    <row r="401" spans="1:10" ht="20.25">
      <c r="A401" s="570"/>
      <c r="B401" s="580"/>
      <c r="C401" s="580"/>
      <c r="D401" s="580"/>
      <c r="E401" s="590"/>
      <c r="F401" s="582"/>
      <c r="G401" s="583"/>
      <c r="H401" s="583"/>
      <c r="I401" s="582"/>
      <c r="J401" s="583"/>
    </row>
    <row r="402" spans="1:10" ht="20.25">
      <c r="A402" s="570"/>
      <c r="B402" s="580"/>
      <c r="C402" s="580"/>
      <c r="D402" s="580"/>
      <c r="E402" s="590"/>
      <c r="F402" s="582"/>
      <c r="G402" s="583"/>
      <c r="H402" s="583"/>
      <c r="I402" s="582"/>
      <c r="J402" s="583"/>
    </row>
    <row r="403" spans="1:10" ht="20.25">
      <c r="A403" s="570"/>
      <c r="B403" s="580"/>
      <c r="C403" s="580"/>
      <c r="D403" s="580"/>
      <c r="E403" s="590"/>
      <c r="F403" s="582"/>
      <c r="G403" s="583"/>
      <c r="H403" s="583"/>
      <c r="I403" s="582"/>
      <c r="J403" s="583"/>
    </row>
    <row r="404" spans="1:10" ht="20.25">
      <c r="A404" s="570"/>
      <c r="B404" s="580"/>
      <c r="C404" s="580"/>
      <c r="D404" s="580"/>
      <c r="E404" s="590"/>
      <c r="F404" s="582"/>
      <c r="G404" s="583"/>
      <c r="H404" s="583"/>
      <c r="I404" s="582"/>
      <c r="J404" s="583"/>
    </row>
    <row r="405" spans="1:10" ht="20.25">
      <c r="A405" s="570"/>
      <c r="B405" s="580"/>
      <c r="C405" s="580"/>
      <c r="D405" s="580"/>
      <c r="E405" s="590"/>
      <c r="F405" s="582"/>
      <c r="G405" s="583"/>
      <c r="H405" s="583"/>
      <c r="I405" s="582"/>
      <c r="J405" s="583"/>
    </row>
    <row r="406" spans="1:10" ht="20.25">
      <c r="A406" s="570"/>
      <c r="B406" s="580"/>
      <c r="C406" s="580"/>
      <c r="D406" s="580"/>
      <c r="E406" s="590"/>
      <c r="F406" s="582"/>
      <c r="G406" s="583"/>
      <c r="H406" s="583"/>
      <c r="I406" s="582"/>
      <c r="J406" s="583"/>
    </row>
    <row r="407" spans="1:10" ht="20.25">
      <c r="A407" s="570"/>
      <c r="B407" s="580"/>
      <c r="C407" s="580"/>
      <c r="D407" s="580"/>
      <c r="E407" s="590"/>
      <c r="F407" s="582"/>
      <c r="G407" s="583"/>
      <c r="H407" s="583"/>
      <c r="I407" s="582"/>
      <c r="J407" s="583"/>
    </row>
    <row r="408" spans="1:10" ht="20.25">
      <c r="A408" s="570"/>
      <c r="B408" s="580"/>
      <c r="C408" s="580"/>
      <c r="D408" s="580"/>
      <c r="E408" s="590"/>
      <c r="F408" s="582"/>
      <c r="G408" s="583"/>
      <c r="H408" s="583"/>
      <c r="I408" s="582"/>
      <c r="J408" s="583"/>
    </row>
    <row r="409" spans="1:10" ht="20.25">
      <c r="A409" s="570"/>
      <c r="B409" s="580"/>
      <c r="C409" s="580"/>
      <c r="D409" s="580"/>
      <c r="E409" s="590"/>
      <c r="F409" s="582"/>
      <c r="G409" s="583"/>
      <c r="H409" s="583"/>
      <c r="I409" s="582"/>
      <c r="J409" s="583"/>
    </row>
    <row r="410" spans="1:10" ht="20.25">
      <c r="A410" s="570"/>
      <c r="B410" s="580"/>
      <c r="C410" s="580"/>
      <c r="D410" s="580"/>
      <c r="E410" s="590"/>
      <c r="F410" s="582"/>
      <c r="G410" s="583"/>
      <c r="H410" s="583"/>
      <c r="I410" s="582"/>
      <c r="J410" s="583"/>
    </row>
    <row r="411" spans="1:10" ht="20.25">
      <c r="A411" s="570"/>
      <c r="B411" s="580"/>
      <c r="C411" s="580"/>
      <c r="D411" s="580"/>
      <c r="E411" s="590"/>
      <c r="F411" s="582"/>
      <c r="G411" s="583"/>
      <c r="H411" s="583"/>
      <c r="I411" s="582"/>
      <c r="J411" s="583"/>
    </row>
    <row r="412" spans="1:10" ht="20.25">
      <c r="A412" s="570"/>
      <c r="B412" s="580"/>
      <c r="C412" s="580"/>
      <c r="D412" s="580"/>
      <c r="E412" s="590"/>
      <c r="F412" s="582"/>
      <c r="G412" s="583"/>
      <c r="H412" s="583"/>
      <c r="I412" s="582"/>
      <c r="J412" s="583"/>
    </row>
    <row r="413" spans="1:10" ht="20.25">
      <c r="A413" s="570"/>
      <c r="B413" s="580"/>
      <c r="C413" s="580"/>
      <c r="D413" s="580"/>
      <c r="E413" s="590"/>
      <c r="F413" s="582"/>
      <c r="G413" s="583"/>
      <c r="H413" s="583"/>
      <c r="I413" s="582"/>
      <c r="J413" s="583"/>
    </row>
    <row r="414" spans="1:10" ht="20.25">
      <c r="A414" s="570"/>
      <c r="B414" s="580"/>
      <c r="C414" s="580"/>
      <c r="D414" s="580"/>
      <c r="E414" s="590"/>
      <c r="F414" s="582"/>
      <c r="G414" s="583"/>
      <c r="H414" s="583"/>
      <c r="I414" s="582"/>
      <c r="J414" s="583"/>
    </row>
    <row r="415" spans="1:10" ht="20.25">
      <c r="A415" s="570"/>
      <c r="B415" s="580"/>
      <c r="C415" s="580"/>
      <c r="D415" s="580"/>
      <c r="E415" s="590"/>
      <c r="F415" s="582"/>
      <c r="G415" s="583"/>
      <c r="H415" s="583"/>
      <c r="I415" s="582"/>
      <c r="J415" s="583"/>
    </row>
    <row r="416" spans="1:10" ht="20.25">
      <c r="A416" s="570"/>
      <c r="B416" s="580"/>
      <c r="C416" s="580"/>
      <c r="D416" s="580"/>
      <c r="E416" s="590"/>
      <c r="F416" s="582"/>
      <c r="G416" s="583"/>
      <c r="H416" s="583"/>
      <c r="I416" s="582"/>
      <c r="J416" s="583"/>
    </row>
    <row r="417" spans="1:10" ht="20.25">
      <c r="A417" s="570"/>
      <c r="B417" s="580"/>
      <c r="C417" s="580"/>
      <c r="D417" s="580"/>
      <c r="E417" s="590"/>
      <c r="F417" s="582"/>
      <c r="G417" s="583"/>
      <c r="H417" s="583"/>
      <c r="I417" s="582"/>
      <c r="J417" s="583"/>
    </row>
    <row r="418" spans="1:10" ht="20.25">
      <c r="A418" s="570"/>
      <c r="B418" s="580"/>
      <c r="C418" s="580"/>
      <c r="D418" s="580"/>
      <c r="E418" s="590"/>
      <c r="F418" s="582"/>
      <c r="G418" s="583"/>
      <c r="H418" s="583"/>
      <c r="I418" s="582"/>
      <c r="J418" s="583"/>
    </row>
    <row r="419" spans="1:10" ht="20.25">
      <c r="A419" s="570"/>
      <c r="B419" s="580"/>
      <c r="C419" s="580"/>
      <c r="D419" s="580"/>
      <c r="E419" s="590"/>
      <c r="F419" s="582"/>
      <c r="G419" s="583"/>
      <c r="H419" s="583"/>
      <c r="I419" s="582"/>
      <c r="J419" s="583"/>
    </row>
    <row r="420" spans="1:10" ht="20.25">
      <c r="A420" s="570"/>
      <c r="B420" s="580"/>
      <c r="C420" s="580"/>
      <c r="D420" s="580"/>
      <c r="E420" s="590"/>
      <c r="F420" s="582"/>
      <c r="G420" s="583"/>
      <c r="H420" s="583"/>
      <c r="I420" s="582"/>
      <c r="J420" s="583"/>
    </row>
    <row r="421" spans="1:10" ht="20.25">
      <c r="A421" s="570"/>
      <c r="B421" s="580"/>
      <c r="C421" s="580"/>
      <c r="D421" s="580"/>
      <c r="E421" s="590"/>
      <c r="F421" s="582"/>
      <c r="G421" s="583"/>
      <c r="H421" s="583"/>
      <c r="I421" s="582"/>
      <c r="J421" s="583"/>
    </row>
    <row r="422" spans="1:10" ht="20.25">
      <c r="A422" s="570"/>
      <c r="B422" s="580"/>
      <c r="C422" s="580"/>
      <c r="D422" s="580"/>
      <c r="E422" s="590"/>
      <c r="F422" s="582"/>
      <c r="G422" s="583"/>
      <c r="H422" s="583"/>
      <c r="I422" s="582"/>
      <c r="J422" s="583"/>
    </row>
    <row r="423" spans="1:10" ht="20.25">
      <c r="A423" s="570"/>
      <c r="B423" s="580"/>
      <c r="C423" s="580"/>
      <c r="D423" s="580"/>
      <c r="E423" s="590"/>
      <c r="F423" s="582"/>
      <c r="G423" s="583"/>
      <c r="H423" s="583"/>
      <c r="I423" s="582"/>
      <c r="J423" s="583"/>
    </row>
    <row r="424" spans="1:10" ht="20.25">
      <c r="A424" s="570"/>
      <c r="B424" s="580"/>
      <c r="C424" s="580"/>
      <c r="D424" s="580"/>
      <c r="E424" s="590"/>
      <c r="F424" s="582"/>
      <c r="G424" s="583"/>
      <c r="H424" s="583"/>
      <c r="I424" s="582"/>
      <c r="J424" s="583"/>
    </row>
    <row r="425" spans="1:10" ht="20.25">
      <c r="A425" s="570"/>
      <c r="B425" s="580"/>
      <c r="C425" s="580"/>
      <c r="D425" s="580"/>
      <c r="E425" s="590"/>
      <c r="F425" s="582"/>
      <c r="G425" s="583"/>
      <c r="H425" s="583"/>
      <c r="I425" s="582"/>
      <c r="J425" s="583"/>
    </row>
    <row r="426" spans="1:10" ht="20.25">
      <c r="A426" s="570"/>
      <c r="B426" s="580"/>
      <c r="C426" s="580"/>
      <c r="D426" s="580"/>
      <c r="E426" s="590"/>
      <c r="F426" s="582"/>
      <c r="G426" s="583"/>
      <c r="H426" s="583"/>
      <c r="I426" s="582"/>
      <c r="J426" s="583"/>
    </row>
    <row r="427" spans="1:10" ht="20.25">
      <c r="A427" s="570"/>
      <c r="B427" s="580"/>
      <c r="C427" s="580"/>
      <c r="D427" s="580"/>
      <c r="E427" s="590"/>
      <c r="F427" s="582"/>
      <c r="G427" s="583"/>
      <c r="H427" s="583"/>
      <c r="I427" s="582"/>
      <c r="J427" s="583"/>
    </row>
    <row r="428" spans="1:10" ht="20.25">
      <c r="A428" s="570"/>
      <c r="B428" s="580"/>
      <c r="C428" s="580"/>
      <c r="D428" s="580"/>
      <c r="E428" s="590"/>
      <c r="F428" s="582"/>
      <c r="G428" s="583"/>
      <c r="H428" s="583"/>
      <c r="I428" s="582"/>
      <c r="J428" s="583"/>
    </row>
    <row r="429" spans="1:10" ht="20.25">
      <c r="A429" s="570"/>
      <c r="B429" s="580"/>
      <c r="C429" s="580"/>
      <c r="D429" s="580"/>
      <c r="E429" s="590"/>
      <c r="F429" s="582"/>
      <c r="G429" s="583"/>
      <c r="H429" s="583"/>
      <c r="I429" s="582"/>
      <c r="J429" s="583"/>
    </row>
    <row r="430" spans="1:10" ht="20.25">
      <c r="A430" s="570"/>
      <c r="B430" s="580"/>
      <c r="C430" s="580"/>
      <c r="D430" s="580"/>
      <c r="E430" s="590"/>
      <c r="F430" s="582"/>
      <c r="G430" s="583"/>
      <c r="H430" s="583"/>
      <c r="I430" s="582"/>
      <c r="J430" s="583"/>
    </row>
    <row r="431" spans="1:10" ht="20.25">
      <c r="A431" s="570"/>
      <c r="B431" s="580"/>
      <c r="C431" s="580"/>
      <c r="D431" s="580"/>
      <c r="E431" s="590"/>
      <c r="F431" s="582"/>
      <c r="G431" s="583"/>
      <c r="H431" s="583"/>
      <c r="I431" s="582"/>
      <c r="J431" s="583"/>
    </row>
    <row r="432" spans="1:10" ht="20.25">
      <c r="A432" s="570"/>
      <c r="B432" s="580"/>
      <c r="C432" s="580"/>
      <c r="D432" s="580"/>
      <c r="E432" s="590"/>
      <c r="F432" s="582"/>
      <c r="G432" s="583"/>
      <c r="H432" s="583"/>
      <c r="I432" s="582"/>
      <c r="J432" s="583"/>
    </row>
    <row r="433" spans="1:10" ht="20.25">
      <c r="A433" s="570"/>
      <c r="B433" s="580"/>
      <c r="C433" s="580"/>
      <c r="D433" s="580"/>
      <c r="E433" s="590"/>
      <c r="F433" s="582"/>
      <c r="G433" s="583"/>
      <c r="H433" s="583"/>
      <c r="I433" s="582"/>
      <c r="J433" s="583"/>
    </row>
    <row r="434" spans="1:10" ht="20.25">
      <c r="A434" s="570"/>
      <c r="B434" s="580"/>
      <c r="C434" s="580"/>
      <c r="D434" s="580"/>
      <c r="E434" s="590"/>
      <c r="F434" s="582"/>
      <c r="G434" s="583"/>
      <c r="H434" s="583"/>
      <c r="I434" s="582"/>
      <c r="J434" s="583"/>
    </row>
    <row r="435" spans="1:10" ht="20.25">
      <c r="A435" s="570"/>
      <c r="B435" s="580"/>
      <c r="C435" s="580"/>
      <c r="D435" s="580"/>
      <c r="E435" s="590"/>
      <c r="F435" s="582"/>
      <c r="G435" s="583"/>
      <c r="H435" s="583"/>
      <c r="I435" s="582"/>
      <c r="J435" s="583"/>
    </row>
    <row r="436" spans="1:10" ht="20.25">
      <c r="A436" s="570"/>
      <c r="B436" s="580"/>
      <c r="C436" s="580"/>
      <c r="D436" s="580"/>
      <c r="E436" s="590"/>
      <c r="F436" s="582"/>
      <c r="G436" s="583"/>
      <c r="H436" s="583"/>
      <c r="I436" s="582"/>
      <c r="J436" s="583"/>
    </row>
    <row r="437" spans="1:10" ht="20.25">
      <c r="A437" s="570"/>
      <c r="B437" s="580"/>
      <c r="C437" s="580"/>
      <c r="D437" s="580"/>
      <c r="E437" s="590"/>
      <c r="F437" s="582"/>
      <c r="G437" s="583"/>
      <c r="H437" s="583"/>
      <c r="I437" s="582"/>
      <c r="J437" s="583"/>
    </row>
    <row r="438" spans="1:10" ht="20.25">
      <c r="A438" s="570"/>
      <c r="B438" s="580"/>
      <c r="C438" s="580"/>
      <c r="D438" s="580"/>
      <c r="E438" s="590"/>
      <c r="F438" s="582"/>
      <c r="G438" s="583"/>
      <c r="H438" s="583"/>
      <c r="I438" s="582"/>
      <c r="J438" s="583"/>
    </row>
    <row r="439" spans="1:10" ht="20.25">
      <c r="A439" s="570"/>
      <c r="B439" s="580"/>
      <c r="C439" s="580"/>
      <c r="D439" s="580"/>
      <c r="E439" s="590"/>
      <c r="F439" s="582"/>
      <c r="G439" s="583"/>
      <c r="H439" s="583"/>
      <c r="I439" s="582"/>
      <c r="J439" s="583"/>
    </row>
    <row r="440" spans="1:10" ht="20.25">
      <c r="A440" s="570"/>
      <c r="B440" s="580"/>
      <c r="C440" s="580"/>
      <c r="D440" s="580"/>
      <c r="E440" s="590"/>
      <c r="F440" s="582"/>
      <c r="G440" s="583"/>
      <c r="H440" s="583"/>
      <c r="I440" s="582"/>
      <c r="J440" s="583"/>
    </row>
    <row r="441" spans="1:10" ht="20.25">
      <c r="A441" s="570"/>
      <c r="B441" s="580"/>
      <c r="C441" s="580"/>
      <c r="D441" s="580"/>
      <c r="E441" s="590"/>
      <c r="F441" s="582"/>
      <c r="G441" s="583"/>
      <c r="H441" s="583"/>
      <c r="I441" s="582"/>
      <c r="J441" s="583"/>
    </row>
    <row r="442" spans="1:10" ht="20.25">
      <c r="A442" s="570"/>
      <c r="B442" s="580"/>
      <c r="C442" s="580"/>
      <c r="D442" s="580"/>
      <c r="E442" s="590"/>
      <c r="F442" s="582"/>
      <c r="G442" s="583"/>
      <c r="H442" s="583"/>
      <c r="I442" s="582"/>
      <c r="J442" s="583"/>
    </row>
    <row r="443" spans="1:10" ht="20.25">
      <c r="A443" s="570"/>
      <c r="B443" s="580"/>
      <c r="C443" s="580"/>
      <c r="D443" s="580"/>
      <c r="E443" s="590"/>
      <c r="F443" s="582"/>
      <c r="G443" s="583"/>
      <c r="H443" s="583"/>
      <c r="I443" s="582"/>
      <c r="J443" s="583"/>
    </row>
    <row r="444" spans="1:10" ht="20.25">
      <c r="A444" s="570"/>
      <c r="B444" s="580"/>
      <c r="C444" s="580"/>
      <c r="D444" s="580"/>
      <c r="E444" s="590"/>
      <c r="F444" s="582"/>
      <c r="G444" s="583"/>
      <c r="H444" s="583"/>
      <c r="I444" s="582"/>
      <c r="J444" s="583"/>
    </row>
    <row r="445" spans="1:10" ht="20.25">
      <c r="A445" s="570"/>
      <c r="B445" s="580"/>
      <c r="C445" s="580"/>
      <c r="D445" s="580"/>
      <c r="E445" s="590"/>
      <c r="F445" s="582"/>
      <c r="G445" s="583"/>
      <c r="H445" s="583"/>
      <c r="I445" s="582"/>
      <c r="J445" s="583"/>
    </row>
    <row r="446" spans="1:10" ht="20.25">
      <c r="A446" s="570"/>
      <c r="B446" s="580"/>
      <c r="C446" s="580"/>
      <c r="D446" s="580"/>
      <c r="E446" s="590"/>
      <c r="F446" s="582"/>
      <c r="G446" s="583"/>
      <c r="H446" s="583"/>
      <c r="I446" s="582"/>
      <c r="J446" s="583"/>
    </row>
    <row r="447" spans="1:10" ht="20.25">
      <c r="A447" s="570"/>
      <c r="B447" s="580"/>
      <c r="C447" s="580"/>
      <c r="D447" s="580"/>
      <c r="E447" s="590"/>
      <c r="F447" s="582"/>
      <c r="G447" s="583"/>
      <c r="H447" s="583"/>
      <c r="I447" s="582"/>
      <c r="J447" s="583"/>
    </row>
    <row r="448" spans="1:10" ht="20.25">
      <c r="A448" s="570"/>
      <c r="B448" s="580"/>
      <c r="C448" s="580"/>
      <c r="D448" s="580"/>
      <c r="E448" s="590"/>
      <c r="F448" s="582"/>
      <c r="G448" s="583"/>
      <c r="H448" s="583"/>
      <c r="I448" s="582"/>
      <c r="J448" s="583"/>
    </row>
    <row r="449" spans="1:10" ht="20.25">
      <c r="A449" s="570"/>
      <c r="B449" s="580"/>
      <c r="C449" s="580"/>
      <c r="D449" s="580"/>
      <c r="E449" s="590"/>
      <c r="F449" s="582"/>
      <c r="G449" s="583"/>
      <c r="H449" s="583"/>
      <c r="I449" s="582"/>
      <c r="J449" s="583"/>
    </row>
    <row r="450" spans="1:10" ht="20.25">
      <c r="A450" s="570"/>
      <c r="B450" s="580"/>
      <c r="C450" s="580"/>
      <c r="D450" s="580"/>
      <c r="E450" s="590"/>
      <c r="F450" s="582"/>
      <c r="G450" s="583"/>
      <c r="H450" s="583"/>
      <c r="I450" s="582"/>
      <c r="J450" s="583"/>
    </row>
    <row r="451" spans="1:10" ht="20.25">
      <c r="A451" s="570"/>
      <c r="B451" s="580"/>
      <c r="C451" s="580"/>
      <c r="D451" s="580"/>
      <c r="E451" s="590"/>
      <c r="F451" s="582"/>
      <c r="G451" s="583"/>
      <c r="H451" s="583"/>
      <c r="I451" s="582"/>
      <c r="J451" s="583"/>
    </row>
    <row r="452" spans="1:10" ht="20.25">
      <c r="A452" s="570"/>
      <c r="B452" s="580"/>
      <c r="C452" s="580"/>
      <c r="D452" s="580"/>
      <c r="E452" s="590"/>
      <c r="F452" s="582"/>
      <c r="G452" s="583"/>
      <c r="H452" s="583"/>
      <c r="I452" s="582"/>
      <c r="J452" s="583"/>
    </row>
    <row r="453" spans="1:10" ht="20.25">
      <c r="A453" s="570"/>
      <c r="B453" s="580"/>
      <c r="C453" s="580"/>
      <c r="D453" s="580"/>
      <c r="E453" s="590"/>
      <c r="F453" s="582"/>
      <c r="G453" s="583"/>
      <c r="H453" s="583"/>
      <c r="I453" s="582"/>
      <c r="J453" s="583"/>
    </row>
    <row r="454" spans="1:10" ht="20.25">
      <c r="A454" s="570"/>
      <c r="B454" s="580"/>
      <c r="C454" s="580"/>
      <c r="D454" s="580"/>
      <c r="E454" s="590"/>
      <c r="F454" s="582"/>
      <c r="G454" s="583"/>
      <c r="H454" s="583"/>
      <c r="I454" s="582"/>
      <c r="J454" s="583"/>
    </row>
    <row r="455" spans="1:10" ht="20.25">
      <c r="A455" s="570"/>
      <c r="B455" s="580"/>
      <c r="C455" s="580"/>
      <c r="D455" s="580"/>
      <c r="E455" s="590"/>
      <c r="F455" s="582"/>
      <c r="G455" s="583"/>
      <c r="H455" s="583"/>
      <c r="I455" s="582"/>
      <c r="J455" s="583"/>
    </row>
    <row r="456" spans="1:10" ht="20.25">
      <c r="A456" s="570"/>
      <c r="B456" s="580"/>
      <c r="C456" s="580"/>
      <c r="D456" s="580"/>
      <c r="E456" s="590"/>
      <c r="F456" s="582"/>
      <c r="G456" s="583"/>
      <c r="H456" s="583"/>
      <c r="I456" s="582"/>
      <c r="J456" s="583"/>
    </row>
    <row r="457" spans="1:10" ht="20.25">
      <c r="A457" s="570"/>
      <c r="B457" s="580"/>
      <c r="C457" s="580"/>
      <c r="D457" s="580"/>
      <c r="E457" s="590"/>
      <c r="F457" s="582"/>
      <c r="G457" s="583"/>
      <c r="H457" s="583"/>
      <c r="I457" s="582"/>
      <c r="J457" s="583"/>
    </row>
    <row r="458" spans="1:10" ht="20.25">
      <c r="A458" s="570"/>
      <c r="B458" s="580"/>
      <c r="C458" s="580"/>
      <c r="D458" s="580"/>
      <c r="E458" s="590"/>
      <c r="F458" s="582"/>
      <c r="G458" s="583"/>
      <c r="H458" s="583"/>
      <c r="I458" s="582"/>
      <c r="J458" s="583"/>
    </row>
    <row r="459" spans="1:10" ht="20.25">
      <c r="A459" s="570"/>
      <c r="B459" s="580"/>
      <c r="C459" s="580"/>
      <c r="D459" s="580"/>
      <c r="E459" s="590"/>
      <c r="F459" s="582"/>
      <c r="G459" s="583"/>
      <c r="H459" s="583"/>
      <c r="I459" s="582"/>
      <c r="J459" s="583"/>
    </row>
    <row r="460" spans="1:10" ht="20.25">
      <c r="A460" s="570"/>
      <c r="B460" s="580"/>
      <c r="C460" s="580"/>
      <c r="D460" s="580"/>
      <c r="E460" s="590"/>
      <c r="F460" s="582"/>
      <c r="G460" s="583"/>
      <c r="H460" s="583"/>
      <c r="I460" s="582"/>
      <c r="J460" s="583"/>
    </row>
    <row r="461" spans="1:10" ht="20.25">
      <c r="A461" s="570"/>
      <c r="B461" s="580"/>
      <c r="C461" s="580"/>
      <c r="D461" s="580"/>
      <c r="E461" s="590"/>
      <c r="F461" s="582"/>
      <c r="G461" s="583"/>
      <c r="H461" s="583"/>
      <c r="I461" s="582"/>
      <c r="J461" s="583"/>
    </row>
    <row r="462" spans="1:10" ht="20.25">
      <c r="A462" s="570"/>
      <c r="B462" s="580"/>
      <c r="C462" s="580"/>
      <c r="D462" s="580"/>
      <c r="E462" s="590"/>
      <c r="F462" s="582"/>
      <c r="G462" s="583"/>
      <c r="H462" s="583"/>
      <c r="I462" s="582"/>
      <c r="J462" s="583"/>
    </row>
    <row r="463" spans="1:10" ht="20.25">
      <c r="A463" s="570"/>
      <c r="B463" s="580"/>
      <c r="C463" s="580"/>
      <c r="D463" s="580"/>
      <c r="E463" s="590"/>
      <c r="F463" s="582"/>
      <c r="G463" s="583"/>
      <c r="H463" s="583"/>
      <c r="I463" s="582"/>
      <c r="J463" s="583"/>
    </row>
    <row r="464" spans="1:10" ht="20.25">
      <c r="A464" s="570"/>
      <c r="B464" s="580"/>
      <c r="C464" s="580"/>
      <c r="D464" s="580"/>
      <c r="E464" s="590"/>
      <c r="F464" s="582"/>
      <c r="G464" s="583"/>
      <c r="H464" s="583"/>
      <c r="I464" s="582"/>
      <c r="J464" s="583"/>
    </row>
    <row r="465" spans="1:10" ht="20.25">
      <c r="A465" s="570"/>
      <c r="B465" s="580"/>
      <c r="C465" s="580"/>
      <c r="D465" s="580"/>
      <c r="E465" s="590"/>
      <c r="F465" s="582"/>
      <c r="G465" s="583"/>
      <c r="H465" s="583"/>
      <c r="I465" s="582"/>
      <c r="J465" s="583"/>
    </row>
    <row r="466" spans="1:10" ht="20.25">
      <c r="A466" s="570"/>
      <c r="B466" s="580"/>
      <c r="C466" s="580"/>
      <c r="D466" s="580"/>
      <c r="E466" s="590"/>
      <c r="F466" s="582"/>
      <c r="G466" s="583"/>
      <c r="H466" s="583"/>
      <c r="I466" s="582"/>
      <c r="J466" s="583"/>
    </row>
    <row r="467" spans="1:10" ht="20.25">
      <c r="A467" s="570"/>
      <c r="B467" s="580"/>
      <c r="C467" s="580"/>
      <c r="D467" s="580"/>
      <c r="E467" s="590"/>
      <c r="F467" s="582"/>
      <c r="G467" s="583"/>
      <c r="H467" s="583"/>
      <c r="I467" s="582"/>
      <c r="J467" s="583"/>
    </row>
    <row r="468" spans="1:10" ht="20.25">
      <c r="A468" s="570"/>
      <c r="B468" s="580"/>
      <c r="C468" s="580"/>
      <c r="D468" s="580"/>
      <c r="E468" s="590"/>
      <c r="F468" s="582"/>
      <c r="G468" s="583"/>
      <c r="H468" s="583"/>
      <c r="I468" s="582"/>
      <c r="J468" s="583"/>
    </row>
    <row r="469" spans="1:10" ht="20.25">
      <c r="A469" s="570"/>
      <c r="B469" s="580"/>
      <c r="C469" s="580"/>
      <c r="D469" s="580"/>
      <c r="E469" s="590"/>
      <c r="F469" s="582"/>
      <c r="G469" s="583"/>
      <c r="H469" s="583"/>
      <c r="I469" s="582"/>
      <c r="J469" s="583"/>
    </row>
    <row r="470" spans="1:10" ht="20.25">
      <c r="A470" s="570"/>
      <c r="B470" s="580"/>
      <c r="C470" s="580"/>
      <c r="D470" s="580"/>
      <c r="E470" s="590"/>
      <c r="F470" s="582"/>
      <c r="G470" s="583"/>
      <c r="H470" s="583"/>
      <c r="I470" s="582"/>
      <c r="J470" s="583"/>
    </row>
    <row r="471" spans="1:10" ht="20.25">
      <c r="A471" s="570"/>
      <c r="B471" s="580"/>
      <c r="C471" s="580"/>
      <c r="D471" s="580"/>
      <c r="E471" s="590"/>
      <c r="F471" s="582"/>
      <c r="G471" s="583"/>
      <c r="H471" s="583"/>
      <c r="I471" s="582"/>
      <c r="J471" s="583"/>
    </row>
    <row r="472" spans="1:10" ht="20.25">
      <c r="A472" s="570"/>
      <c r="B472" s="580"/>
      <c r="C472" s="580"/>
      <c r="D472" s="580"/>
      <c r="E472" s="590"/>
      <c r="F472" s="582"/>
      <c r="G472" s="583"/>
      <c r="H472" s="583"/>
      <c r="I472" s="582"/>
      <c r="J472" s="583"/>
    </row>
    <row r="473" spans="1:10" ht="20.25">
      <c r="A473" s="570"/>
      <c r="B473" s="580"/>
      <c r="C473" s="580"/>
      <c r="D473" s="580"/>
      <c r="E473" s="590"/>
      <c r="F473" s="582"/>
      <c r="G473" s="583"/>
      <c r="H473" s="583"/>
      <c r="I473" s="582"/>
      <c r="J473" s="583"/>
    </row>
    <row r="474" spans="1:10" ht="20.25">
      <c r="A474" s="570"/>
      <c r="B474" s="580"/>
      <c r="C474" s="580"/>
      <c r="D474" s="580"/>
      <c r="E474" s="590"/>
      <c r="F474" s="582"/>
      <c r="G474" s="583"/>
      <c r="H474" s="583"/>
      <c r="I474" s="582"/>
      <c r="J474" s="583"/>
    </row>
    <row r="475" spans="1:10" ht="20.25">
      <c r="A475" s="570"/>
      <c r="B475" s="580"/>
      <c r="C475" s="580"/>
      <c r="D475" s="580"/>
      <c r="E475" s="590"/>
      <c r="F475" s="582"/>
      <c r="G475" s="583"/>
      <c r="H475" s="583"/>
      <c r="I475" s="582"/>
      <c r="J475" s="583"/>
    </row>
    <row r="476" spans="1:10" ht="20.25">
      <c r="A476" s="570"/>
      <c r="B476" s="580"/>
      <c r="C476" s="580"/>
      <c r="D476" s="580"/>
      <c r="E476" s="590"/>
      <c r="F476" s="582"/>
      <c r="G476" s="583"/>
      <c r="H476" s="583"/>
      <c r="I476" s="582"/>
      <c r="J476" s="583"/>
    </row>
    <row r="477" spans="1:10" ht="20.25">
      <c r="A477" s="570"/>
      <c r="B477" s="580"/>
      <c r="C477" s="580"/>
      <c r="D477" s="580"/>
      <c r="E477" s="590"/>
      <c r="F477" s="582"/>
      <c r="G477" s="583"/>
      <c r="H477" s="583"/>
      <c r="I477" s="582"/>
      <c r="J477" s="583"/>
    </row>
    <row r="478" spans="1:10" ht="20.25">
      <c r="A478" s="570"/>
      <c r="B478" s="580"/>
      <c r="C478" s="580"/>
      <c r="D478" s="580"/>
      <c r="E478" s="590"/>
      <c r="F478" s="582"/>
      <c r="G478" s="583"/>
      <c r="H478" s="583"/>
      <c r="I478" s="582"/>
      <c r="J478" s="583"/>
    </row>
    <row r="479" spans="1:10" ht="20.25">
      <c r="A479" s="570"/>
      <c r="B479" s="580"/>
      <c r="C479" s="580"/>
      <c r="D479" s="580"/>
      <c r="E479" s="590"/>
      <c r="F479" s="582"/>
      <c r="G479" s="583"/>
      <c r="H479" s="583"/>
      <c r="I479" s="582"/>
      <c r="J479" s="583"/>
    </row>
    <row r="480" spans="1:10" ht="20.25">
      <c r="A480" s="570"/>
      <c r="B480" s="580"/>
      <c r="C480" s="580"/>
      <c r="D480" s="580"/>
      <c r="E480" s="590"/>
      <c r="F480" s="582"/>
      <c r="G480" s="583"/>
      <c r="H480" s="583"/>
      <c r="I480" s="582"/>
      <c r="J480" s="583"/>
    </row>
    <row r="481" spans="1:10" ht="20.25">
      <c r="A481" s="570"/>
      <c r="B481" s="580"/>
      <c r="C481" s="580"/>
      <c r="D481" s="580"/>
      <c r="E481" s="590"/>
      <c r="F481" s="582"/>
      <c r="G481" s="583"/>
      <c r="H481" s="583"/>
      <c r="I481" s="582"/>
      <c r="J481" s="583"/>
    </row>
    <row r="482" spans="1:10" ht="20.25">
      <c r="A482" s="570"/>
      <c r="B482" s="580"/>
      <c r="C482" s="580"/>
      <c r="D482" s="580"/>
      <c r="E482" s="590"/>
      <c r="F482" s="582"/>
      <c r="G482" s="583"/>
      <c r="H482" s="583"/>
      <c r="I482" s="582"/>
      <c r="J482" s="583"/>
    </row>
    <row r="483" spans="1:10" ht="20.25">
      <c r="A483" s="570"/>
      <c r="B483" s="580"/>
      <c r="C483" s="580"/>
      <c r="D483" s="580"/>
      <c r="E483" s="590"/>
      <c r="F483" s="582"/>
      <c r="G483" s="583"/>
      <c r="H483" s="583"/>
      <c r="I483" s="582"/>
      <c r="J483" s="583"/>
    </row>
    <row r="484" spans="1:10" ht="20.25">
      <c r="A484" s="570"/>
      <c r="B484" s="580"/>
      <c r="C484" s="580"/>
      <c r="D484" s="580"/>
      <c r="E484" s="590"/>
      <c r="F484" s="582"/>
      <c r="G484" s="583"/>
      <c r="H484" s="583"/>
      <c r="I484" s="582"/>
      <c r="J484" s="583"/>
    </row>
    <row r="485" spans="1:10" ht="20.25">
      <c r="A485" s="570"/>
      <c r="B485" s="580"/>
      <c r="C485" s="580"/>
      <c r="D485" s="580"/>
      <c r="E485" s="590"/>
      <c r="F485" s="582"/>
      <c r="G485" s="583"/>
      <c r="H485" s="583"/>
      <c r="I485" s="582"/>
      <c r="J485" s="583"/>
    </row>
    <row r="486" spans="1:10" ht="20.25">
      <c r="A486" s="570"/>
      <c r="B486" s="580"/>
      <c r="C486" s="580"/>
      <c r="D486" s="580"/>
      <c r="E486" s="590"/>
      <c r="F486" s="582"/>
      <c r="G486" s="583"/>
      <c r="H486" s="583"/>
      <c r="I486" s="582"/>
      <c r="J486" s="583"/>
    </row>
    <row r="487" spans="1:10" ht="20.25">
      <c r="A487" s="570"/>
      <c r="B487" s="580"/>
      <c r="C487" s="580"/>
      <c r="D487" s="580"/>
      <c r="E487" s="590"/>
      <c r="F487" s="582"/>
      <c r="G487" s="583"/>
      <c r="H487" s="583"/>
      <c r="I487" s="582"/>
      <c r="J487" s="583"/>
    </row>
    <row r="488" spans="1:10" ht="20.25">
      <c r="A488" s="570"/>
      <c r="B488" s="580"/>
      <c r="C488" s="580"/>
      <c r="D488" s="580"/>
      <c r="E488" s="590"/>
      <c r="F488" s="582"/>
      <c r="G488" s="583"/>
      <c r="H488" s="583"/>
      <c r="I488" s="582"/>
      <c r="J488" s="583"/>
    </row>
    <row r="489" spans="1:10" ht="20.25">
      <c r="A489" s="570"/>
      <c r="B489" s="580"/>
      <c r="C489" s="580"/>
      <c r="D489" s="580"/>
      <c r="E489" s="590"/>
      <c r="F489" s="582"/>
      <c r="G489" s="583"/>
      <c r="H489" s="583"/>
      <c r="I489" s="582"/>
      <c r="J489" s="583"/>
    </row>
    <row r="490" spans="1:10" ht="20.25">
      <c r="A490" s="570"/>
      <c r="B490" s="580"/>
      <c r="C490" s="580"/>
      <c r="D490" s="580"/>
      <c r="E490" s="590"/>
      <c r="F490" s="582"/>
      <c r="G490" s="583"/>
      <c r="H490" s="583"/>
      <c r="I490" s="582"/>
      <c r="J490" s="583"/>
    </row>
    <row r="491" spans="1:10" ht="20.25">
      <c r="A491" s="570"/>
      <c r="B491" s="580"/>
      <c r="C491" s="580"/>
      <c r="D491" s="580"/>
      <c r="E491" s="590"/>
      <c r="F491" s="582"/>
      <c r="G491" s="583"/>
      <c r="H491" s="583"/>
      <c r="I491" s="582"/>
      <c r="J491" s="583"/>
    </row>
    <row r="492" spans="1:10" ht="20.25">
      <c r="A492" s="570"/>
      <c r="B492" s="580"/>
      <c r="C492" s="580"/>
      <c r="D492" s="580"/>
      <c r="E492" s="590"/>
      <c r="F492" s="582"/>
      <c r="G492" s="583"/>
      <c r="H492" s="583"/>
      <c r="I492" s="582"/>
      <c r="J492" s="583"/>
    </row>
    <row r="493" spans="1:10" ht="20.25">
      <c r="A493" s="570"/>
      <c r="B493" s="580"/>
      <c r="C493" s="580"/>
      <c r="D493" s="580"/>
      <c r="E493" s="590"/>
      <c r="F493" s="582"/>
      <c r="G493" s="583"/>
      <c r="H493" s="583"/>
      <c r="I493" s="582"/>
      <c r="J493" s="583"/>
    </row>
    <row r="494" spans="1:10" ht="20.25">
      <c r="A494" s="570"/>
      <c r="B494" s="580"/>
      <c r="C494" s="580"/>
      <c r="D494" s="580"/>
      <c r="E494" s="590"/>
      <c r="F494" s="582"/>
      <c r="G494" s="583"/>
      <c r="H494" s="583"/>
      <c r="I494" s="582"/>
      <c r="J494" s="583"/>
    </row>
    <row r="495" spans="1:10" ht="20.25">
      <c r="A495" s="570"/>
      <c r="B495" s="580"/>
      <c r="C495" s="580"/>
      <c r="D495" s="580"/>
      <c r="E495" s="590"/>
      <c r="F495" s="582"/>
      <c r="G495" s="583"/>
      <c r="H495" s="583"/>
      <c r="I495" s="582"/>
      <c r="J495" s="583"/>
    </row>
    <row r="496" spans="1:10" ht="20.25">
      <c r="A496" s="570"/>
      <c r="B496" s="580"/>
      <c r="C496" s="580"/>
      <c r="D496" s="580"/>
      <c r="E496" s="590"/>
      <c r="F496" s="582"/>
      <c r="G496" s="583"/>
      <c r="H496" s="583"/>
      <c r="I496" s="582"/>
      <c r="J496" s="583"/>
    </row>
    <row r="497" spans="1:10" ht="20.25">
      <c r="A497" s="570"/>
      <c r="B497" s="580"/>
      <c r="C497" s="580"/>
      <c r="D497" s="580"/>
      <c r="E497" s="590"/>
      <c r="F497" s="582"/>
      <c r="G497" s="583"/>
      <c r="H497" s="583"/>
      <c r="I497" s="582"/>
      <c r="J497" s="583"/>
    </row>
    <row r="498" spans="1:10" ht="20.25">
      <c r="A498" s="570"/>
      <c r="B498" s="580"/>
      <c r="C498" s="580"/>
      <c r="D498" s="580"/>
      <c r="E498" s="590"/>
      <c r="F498" s="582"/>
      <c r="G498" s="583"/>
      <c r="H498" s="583"/>
      <c r="I498" s="582"/>
      <c r="J498" s="583"/>
    </row>
    <row r="499" spans="1:10" ht="20.25">
      <c r="A499" s="570"/>
      <c r="B499" s="580"/>
      <c r="C499" s="580"/>
      <c r="D499" s="580"/>
      <c r="E499" s="590"/>
      <c r="F499" s="582"/>
      <c r="G499" s="583"/>
      <c r="H499" s="583"/>
      <c r="I499" s="582"/>
      <c r="J499" s="583"/>
    </row>
    <row r="500" spans="1:10" ht="20.25">
      <c r="A500" s="570"/>
      <c r="B500" s="580"/>
      <c r="C500" s="580"/>
      <c r="D500" s="580"/>
      <c r="E500" s="590"/>
      <c r="F500" s="582"/>
      <c r="G500" s="583"/>
      <c r="H500" s="583"/>
      <c r="I500" s="582"/>
      <c r="J500" s="583"/>
    </row>
    <row r="501" spans="1:10" ht="20.25">
      <c r="A501" s="570"/>
      <c r="B501" s="580"/>
      <c r="C501" s="580"/>
      <c r="D501" s="580"/>
      <c r="E501" s="590"/>
      <c r="F501" s="582"/>
      <c r="G501" s="583"/>
      <c r="H501" s="583"/>
      <c r="I501" s="582"/>
      <c r="J501" s="583"/>
    </row>
    <row r="502" spans="1:10" ht="20.25">
      <c r="A502" s="570"/>
      <c r="B502" s="580"/>
      <c r="C502" s="580"/>
      <c r="D502" s="580"/>
      <c r="E502" s="590"/>
      <c r="F502" s="582"/>
      <c r="G502" s="583"/>
      <c r="H502" s="583"/>
      <c r="I502" s="582"/>
      <c r="J502" s="583"/>
    </row>
    <row r="503" spans="1:10" ht="20.25">
      <c r="A503" s="570"/>
      <c r="B503" s="580"/>
      <c r="C503" s="580"/>
      <c r="D503" s="580"/>
      <c r="E503" s="590"/>
      <c r="F503" s="582"/>
      <c r="G503" s="583"/>
      <c r="H503" s="583"/>
      <c r="I503" s="582"/>
      <c r="J503" s="583"/>
    </row>
    <row r="504" spans="1:10" ht="20.25">
      <c r="A504" s="570"/>
      <c r="B504" s="580"/>
      <c r="C504" s="580"/>
      <c r="D504" s="580"/>
      <c r="E504" s="590"/>
      <c r="F504" s="582"/>
      <c r="G504" s="583"/>
      <c r="H504" s="583"/>
      <c r="I504" s="582"/>
      <c r="J504" s="583"/>
    </row>
    <row r="505" spans="1:10" ht="20.25">
      <c r="A505" s="570"/>
      <c r="B505" s="580"/>
      <c r="C505" s="580"/>
      <c r="D505" s="580"/>
      <c r="E505" s="590"/>
      <c r="F505" s="582"/>
      <c r="G505" s="583"/>
      <c r="H505" s="583"/>
      <c r="I505" s="582"/>
      <c r="J505" s="583"/>
    </row>
    <row r="506" spans="1:10" ht="20.25">
      <c r="A506" s="570"/>
      <c r="B506" s="580"/>
      <c r="C506" s="580"/>
      <c r="D506" s="580"/>
      <c r="E506" s="590"/>
      <c r="F506" s="582"/>
      <c r="G506" s="583"/>
      <c r="H506" s="583"/>
      <c r="I506" s="582"/>
      <c r="J506" s="583"/>
    </row>
    <row r="507" spans="1:10" ht="20.25">
      <c r="A507" s="570"/>
      <c r="B507" s="580"/>
      <c r="C507" s="580"/>
      <c r="D507" s="580"/>
      <c r="E507" s="590"/>
      <c r="F507" s="582"/>
      <c r="G507" s="583"/>
      <c r="H507" s="583"/>
      <c r="I507" s="582"/>
      <c r="J507" s="583"/>
    </row>
    <row r="508" spans="1:10" ht="20.25">
      <c r="A508" s="570"/>
      <c r="B508" s="580"/>
      <c r="C508" s="580"/>
      <c r="D508" s="580"/>
      <c r="E508" s="590"/>
      <c r="F508" s="582"/>
      <c r="G508" s="583"/>
      <c r="H508" s="583"/>
      <c r="I508" s="582"/>
      <c r="J508" s="583"/>
    </row>
    <row r="509" spans="1:10" ht="20.25">
      <c r="A509" s="570"/>
      <c r="B509" s="580"/>
      <c r="C509" s="580"/>
      <c r="D509" s="580"/>
      <c r="E509" s="590"/>
      <c r="F509" s="582"/>
      <c r="G509" s="583"/>
      <c r="H509" s="583"/>
      <c r="I509" s="582"/>
      <c r="J509" s="583"/>
    </row>
    <row r="510" spans="1:10" ht="20.25">
      <c r="A510" s="570"/>
      <c r="B510" s="580"/>
      <c r="C510" s="580"/>
      <c r="D510" s="580"/>
      <c r="E510" s="590"/>
      <c r="F510" s="582"/>
      <c r="G510" s="583"/>
      <c r="H510" s="583"/>
      <c r="I510" s="582"/>
      <c r="J510" s="583"/>
    </row>
    <row r="511" spans="1:10" ht="20.25">
      <c r="A511" s="570"/>
      <c r="B511" s="580"/>
      <c r="C511" s="580"/>
      <c r="D511" s="580"/>
      <c r="E511" s="590"/>
      <c r="F511" s="582"/>
      <c r="G511" s="583"/>
      <c r="H511" s="583"/>
      <c r="I511" s="582"/>
      <c r="J511" s="583"/>
    </row>
    <row r="512" spans="1:10" ht="20.25">
      <c r="A512" s="570"/>
      <c r="B512" s="580"/>
      <c r="C512" s="580"/>
      <c r="D512" s="580"/>
      <c r="E512" s="590"/>
      <c r="F512" s="582"/>
      <c r="G512" s="583"/>
      <c r="H512" s="583"/>
      <c r="I512" s="582"/>
      <c r="J512" s="583"/>
    </row>
    <row r="513" spans="1:10" ht="20.25">
      <c r="A513" s="570"/>
      <c r="B513" s="580"/>
      <c r="C513" s="580"/>
      <c r="D513" s="580"/>
      <c r="E513" s="590"/>
      <c r="F513" s="582"/>
      <c r="G513" s="583"/>
      <c r="H513" s="583"/>
      <c r="I513" s="582"/>
      <c r="J513" s="583"/>
    </row>
    <row r="514" spans="1:10" ht="20.25">
      <c r="A514" s="570"/>
      <c r="B514" s="580"/>
      <c r="C514" s="580"/>
      <c r="D514" s="580"/>
      <c r="E514" s="590"/>
      <c r="F514" s="582"/>
      <c r="G514" s="583"/>
      <c r="H514" s="583"/>
      <c r="I514" s="582"/>
      <c r="J514" s="583"/>
    </row>
    <row r="515" spans="1:10" ht="20.25">
      <c r="A515" s="570"/>
      <c r="B515" s="580"/>
      <c r="C515" s="580"/>
      <c r="D515" s="580"/>
      <c r="E515" s="590"/>
      <c r="F515" s="582"/>
      <c r="G515" s="583"/>
      <c r="H515" s="583"/>
      <c r="I515" s="582"/>
      <c r="J515" s="583"/>
    </row>
    <row r="516" spans="1:10" ht="20.25">
      <c r="A516" s="570"/>
      <c r="B516" s="580"/>
      <c r="C516" s="580"/>
      <c r="D516" s="580"/>
      <c r="E516" s="590"/>
      <c r="F516" s="582"/>
      <c r="G516" s="583"/>
      <c r="H516" s="583"/>
      <c r="I516" s="582"/>
      <c r="J516" s="583"/>
    </row>
    <row r="517" spans="1:10" ht="20.25">
      <c r="A517" s="570"/>
      <c r="B517" s="580"/>
      <c r="C517" s="580"/>
      <c r="D517" s="580"/>
      <c r="E517" s="590"/>
      <c r="F517" s="582"/>
      <c r="G517" s="583"/>
      <c r="H517" s="583"/>
      <c r="I517" s="582"/>
      <c r="J517" s="583"/>
    </row>
    <row r="518" spans="1:10" ht="20.25">
      <c r="A518" s="570"/>
      <c r="B518" s="580"/>
      <c r="C518" s="580"/>
      <c r="D518" s="580"/>
      <c r="E518" s="590"/>
      <c r="F518" s="582"/>
      <c r="G518" s="583"/>
      <c r="H518" s="583"/>
      <c r="I518" s="582"/>
      <c r="J518" s="583"/>
    </row>
    <row r="519" spans="1:10" ht="20.25">
      <c r="A519" s="570"/>
      <c r="B519" s="580"/>
      <c r="C519" s="580"/>
      <c r="D519" s="580"/>
      <c r="E519" s="590"/>
      <c r="F519" s="582"/>
      <c r="G519" s="583"/>
      <c r="H519" s="583"/>
      <c r="I519" s="582"/>
      <c r="J519" s="583"/>
    </row>
    <row r="520" spans="1:10" ht="20.25">
      <c r="A520" s="570"/>
      <c r="B520" s="580"/>
      <c r="C520" s="580"/>
      <c r="D520" s="580"/>
      <c r="E520" s="590"/>
      <c r="F520" s="582"/>
      <c r="G520" s="583"/>
      <c r="H520" s="583"/>
      <c r="I520" s="582"/>
      <c r="J520" s="583"/>
    </row>
    <row r="521" spans="1:10" ht="20.25">
      <c r="A521" s="570"/>
      <c r="B521" s="580"/>
      <c r="C521" s="580"/>
      <c r="D521" s="580"/>
      <c r="E521" s="590"/>
      <c r="F521" s="582"/>
      <c r="G521" s="583"/>
      <c r="H521" s="583"/>
      <c r="I521" s="582"/>
      <c r="J521" s="583"/>
    </row>
    <row r="522" spans="1:10" ht="20.25">
      <c r="A522" s="570"/>
      <c r="B522" s="580"/>
      <c r="C522" s="580"/>
      <c r="D522" s="580"/>
      <c r="E522" s="590"/>
      <c r="F522" s="582"/>
      <c r="G522" s="583"/>
      <c r="H522" s="583"/>
      <c r="I522" s="582"/>
      <c r="J522" s="583"/>
    </row>
    <row r="523" spans="1:10" ht="20.25">
      <c r="A523" s="570"/>
      <c r="B523" s="580"/>
      <c r="C523" s="580"/>
      <c r="D523" s="580"/>
      <c r="E523" s="590"/>
      <c r="F523" s="582"/>
      <c r="G523" s="583"/>
      <c r="H523" s="583"/>
      <c r="I523" s="582"/>
      <c r="J523" s="583"/>
    </row>
    <row r="524" spans="1:10" ht="20.25">
      <c r="A524" s="570"/>
      <c r="B524" s="580"/>
      <c r="C524" s="580"/>
      <c r="D524" s="580"/>
      <c r="E524" s="590"/>
      <c r="F524" s="582"/>
      <c r="G524" s="583"/>
      <c r="H524" s="583"/>
      <c r="I524" s="582"/>
      <c r="J524" s="583"/>
    </row>
    <row r="525" spans="1:10" ht="20.25">
      <c r="A525" s="570"/>
      <c r="B525" s="580"/>
      <c r="C525" s="580"/>
      <c r="D525" s="580"/>
      <c r="E525" s="590"/>
      <c r="F525" s="582"/>
      <c r="G525" s="583"/>
      <c r="H525" s="583"/>
      <c r="I525" s="582"/>
      <c r="J525" s="583"/>
    </row>
    <row r="526" spans="1:10" ht="20.25">
      <c r="A526" s="570"/>
      <c r="B526" s="580"/>
      <c r="C526" s="580"/>
      <c r="D526" s="580"/>
      <c r="E526" s="590"/>
      <c r="F526" s="582"/>
      <c r="G526" s="583"/>
      <c r="H526" s="583"/>
      <c r="I526" s="582"/>
      <c r="J526" s="583"/>
    </row>
    <row r="527" spans="1:10" ht="20.25">
      <c r="A527" s="570"/>
      <c r="B527" s="580"/>
      <c r="C527" s="580"/>
      <c r="D527" s="580"/>
      <c r="E527" s="590"/>
      <c r="F527" s="582"/>
      <c r="G527" s="583"/>
      <c r="H527" s="583"/>
      <c r="I527" s="582"/>
      <c r="J527" s="583"/>
    </row>
    <row r="528" spans="1:10" ht="20.25">
      <c r="A528" s="570"/>
      <c r="B528" s="580"/>
      <c r="C528" s="580"/>
      <c r="D528" s="580"/>
      <c r="E528" s="590"/>
      <c r="F528" s="582"/>
      <c r="G528" s="583"/>
      <c r="H528" s="583"/>
      <c r="I528" s="582"/>
      <c r="J528" s="583"/>
    </row>
    <row r="529" spans="1:10" ht="20.25">
      <c r="A529" s="570"/>
      <c r="B529" s="580"/>
      <c r="C529" s="580"/>
      <c r="D529" s="580"/>
      <c r="E529" s="590"/>
      <c r="F529" s="582"/>
      <c r="G529" s="583"/>
      <c r="H529" s="583"/>
      <c r="I529" s="582"/>
      <c r="J529" s="583"/>
    </row>
    <row r="530" spans="1:10" ht="20.25">
      <c r="A530" s="570"/>
      <c r="B530" s="580"/>
      <c r="C530" s="580"/>
      <c r="D530" s="580"/>
      <c r="E530" s="590"/>
      <c r="F530" s="582"/>
      <c r="G530" s="583"/>
      <c r="H530" s="583"/>
      <c r="I530" s="582"/>
      <c r="J530" s="583"/>
    </row>
    <row r="531" spans="1:10" ht="20.25">
      <c r="A531" s="570"/>
      <c r="B531" s="580"/>
      <c r="C531" s="580"/>
      <c r="D531" s="580"/>
      <c r="E531" s="590"/>
      <c r="F531" s="582"/>
      <c r="G531" s="583"/>
      <c r="H531" s="583"/>
      <c r="I531" s="582"/>
      <c r="J531" s="583"/>
    </row>
    <row r="532" spans="1:10" ht="20.25">
      <c r="A532" s="570"/>
      <c r="B532" s="580"/>
      <c r="C532" s="580"/>
      <c r="D532" s="580"/>
      <c r="E532" s="590"/>
      <c r="F532" s="582"/>
      <c r="G532" s="583"/>
      <c r="H532" s="583"/>
      <c r="I532" s="582"/>
      <c r="J532" s="583"/>
    </row>
    <row r="533" spans="1:10" ht="20.25">
      <c r="A533" s="570"/>
      <c r="B533" s="580"/>
      <c r="C533" s="580"/>
      <c r="D533" s="580"/>
      <c r="E533" s="590"/>
      <c r="F533" s="582"/>
      <c r="G533" s="583"/>
      <c r="H533" s="583"/>
      <c r="I533" s="582"/>
      <c r="J533" s="583"/>
    </row>
    <row r="534" spans="1:10" ht="20.25">
      <c r="A534" s="570"/>
      <c r="B534" s="580"/>
      <c r="C534" s="580"/>
      <c r="D534" s="580"/>
      <c r="E534" s="590"/>
      <c r="F534" s="582"/>
      <c r="G534" s="583"/>
      <c r="H534" s="583"/>
      <c r="I534" s="582"/>
      <c r="J534" s="583"/>
    </row>
    <row r="535" spans="1:10" ht="20.25">
      <c r="A535" s="570"/>
      <c r="B535" s="580"/>
      <c r="C535" s="580"/>
      <c r="D535" s="580"/>
      <c r="E535" s="590"/>
      <c r="F535" s="582"/>
      <c r="G535" s="583"/>
      <c r="H535" s="583"/>
      <c r="I535" s="582"/>
      <c r="J535" s="583"/>
    </row>
    <row r="536" spans="1:10" ht="20.25">
      <c r="A536" s="570"/>
      <c r="B536" s="580"/>
      <c r="C536" s="580"/>
      <c r="D536" s="580"/>
      <c r="E536" s="590"/>
      <c r="F536" s="582"/>
      <c r="G536" s="583"/>
      <c r="H536" s="583"/>
      <c r="I536" s="582"/>
      <c r="J536" s="583"/>
    </row>
    <row r="537" spans="1:10" ht="20.25">
      <c r="A537" s="570"/>
      <c r="B537" s="580"/>
      <c r="C537" s="580"/>
      <c r="D537" s="580"/>
      <c r="E537" s="590"/>
      <c r="F537" s="582"/>
      <c r="G537" s="583"/>
      <c r="H537" s="583"/>
      <c r="I537" s="582"/>
      <c r="J537" s="583"/>
    </row>
    <row r="538" spans="1:10" ht="20.25">
      <c r="A538" s="570"/>
      <c r="B538" s="580"/>
      <c r="C538" s="580"/>
      <c r="D538" s="580"/>
      <c r="E538" s="590"/>
      <c r="F538" s="582"/>
      <c r="G538" s="583"/>
      <c r="H538" s="583"/>
      <c r="I538" s="582"/>
      <c r="J538" s="583"/>
    </row>
    <row r="539" spans="1:10" ht="20.25">
      <c r="A539" s="570"/>
      <c r="B539" s="580"/>
      <c r="C539" s="580"/>
      <c r="D539" s="580"/>
      <c r="E539" s="590"/>
      <c r="F539" s="582"/>
      <c r="G539" s="583"/>
      <c r="H539" s="583"/>
      <c r="I539" s="582"/>
      <c r="J539" s="583"/>
    </row>
    <row r="540" spans="1:10" ht="20.25">
      <c r="A540" s="570"/>
      <c r="B540" s="580"/>
      <c r="C540" s="580"/>
      <c r="D540" s="580"/>
      <c r="E540" s="590"/>
      <c r="F540" s="582"/>
      <c r="G540" s="583"/>
      <c r="H540" s="583"/>
      <c r="I540" s="582"/>
      <c r="J540" s="583"/>
    </row>
    <row r="541" spans="1:10" ht="20.25">
      <c r="A541" s="570"/>
      <c r="B541" s="580"/>
      <c r="C541" s="580"/>
      <c r="D541" s="580"/>
      <c r="E541" s="590"/>
      <c r="F541" s="582"/>
      <c r="G541" s="583"/>
      <c r="H541" s="583"/>
      <c r="I541" s="582"/>
      <c r="J541" s="583"/>
    </row>
    <row r="542" spans="1:10" ht="20.25">
      <c r="A542" s="570"/>
      <c r="B542" s="580"/>
      <c r="C542" s="580"/>
      <c r="D542" s="580"/>
      <c r="E542" s="590"/>
      <c r="F542" s="582"/>
      <c r="G542" s="583"/>
      <c r="H542" s="583"/>
      <c r="I542" s="582"/>
      <c r="J542" s="583"/>
    </row>
    <row r="543" spans="1:10" ht="20.25">
      <c r="A543" s="570"/>
      <c r="B543" s="580"/>
      <c r="C543" s="580"/>
      <c r="D543" s="580"/>
      <c r="E543" s="590"/>
      <c r="F543" s="582"/>
      <c r="G543" s="583"/>
      <c r="H543" s="583"/>
      <c r="I543" s="582"/>
      <c r="J543" s="583"/>
    </row>
    <row r="544" spans="1:10" ht="20.25">
      <c r="A544" s="570"/>
      <c r="B544" s="580"/>
      <c r="C544" s="580"/>
      <c r="D544" s="580"/>
      <c r="E544" s="590"/>
      <c r="F544" s="582"/>
      <c r="G544" s="583"/>
      <c r="H544" s="583"/>
      <c r="I544" s="582"/>
      <c r="J544" s="583"/>
    </row>
    <row r="545" spans="1:10" ht="20.25">
      <c r="A545" s="570"/>
      <c r="B545" s="580"/>
      <c r="C545" s="580"/>
      <c r="D545" s="580"/>
      <c r="E545" s="590"/>
      <c r="F545" s="582"/>
      <c r="G545" s="583"/>
      <c r="H545" s="583"/>
      <c r="I545" s="582"/>
      <c r="J545" s="583"/>
    </row>
    <row r="546" spans="1:10" ht="20.25">
      <c r="A546" s="570"/>
      <c r="B546" s="580"/>
      <c r="C546" s="580"/>
      <c r="D546" s="580"/>
      <c r="E546" s="590"/>
      <c r="F546" s="582"/>
      <c r="G546" s="583"/>
      <c r="H546" s="583"/>
      <c r="I546" s="582"/>
      <c r="J546" s="583"/>
    </row>
    <row r="547" spans="1:10" ht="20.25">
      <c r="A547" s="570"/>
      <c r="B547" s="580"/>
      <c r="C547" s="580"/>
      <c r="D547" s="580"/>
      <c r="E547" s="590"/>
      <c r="F547" s="582"/>
      <c r="G547" s="583"/>
      <c r="H547" s="583"/>
      <c r="I547" s="582"/>
      <c r="J547" s="583"/>
    </row>
    <row r="548" spans="1:10" ht="20.25">
      <c r="A548" s="570"/>
      <c r="B548" s="580"/>
      <c r="C548" s="580"/>
      <c r="D548" s="580"/>
      <c r="E548" s="590"/>
      <c r="F548" s="582"/>
      <c r="G548" s="583"/>
      <c r="H548" s="583"/>
      <c r="I548" s="582"/>
      <c r="J548" s="583"/>
    </row>
    <row r="549" spans="1:10" ht="20.25">
      <c r="A549" s="570"/>
      <c r="B549" s="580"/>
      <c r="C549" s="580"/>
      <c r="D549" s="580"/>
      <c r="E549" s="590"/>
      <c r="F549" s="582"/>
      <c r="G549" s="583"/>
      <c r="H549" s="583"/>
      <c r="I549" s="582"/>
      <c r="J549" s="583"/>
    </row>
    <row r="550" spans="1:10" ht="20.25">
      <c r="A550" s="570"/>
      <c r="B550" s="580"/>
      <c r="C550" s="580"/>
      <c r="D550" s="580"/>
      <c r="E550" s="590"/>
      <c r="F550" s="582"/>
      <c r="G550" s="583"/>
      <c r="H550" s="583"/>
      <c r="I550" s="582"/>
      <c r="J550" s="583"/>
    </row>
    <row r="551" spans="1:10" ht="20.25">
      <c r="A551" s="570"/>
      <c r="B551" s="580"/>
      <c r="C551" s="580"/>
      <c r="D551" s="580"/>
      <c r="E551" s="590"/>
      <c r="F551" s="582"/>
      <c r="G551" s="583"/>
      <c r="H551" s="583"/>
      <c r="I551" s="582"/>
      <c r="J551" s="583"/>
    </row>
    <row r="552" spans="1:10" ht="20.25">
      <c r="A552" s="570"/>
      <c r="B552" s="580"/>
      <c r="C552" s="580"/>
      <c r="D552" s="580"/>
      <c r="E552" s="590"/>
      <c r="F552" s="582"/>
      <c r="G552" s="583"/>
      <c r="H552" s="583"/>
      <c r="I552" s="582"/>
      <c r="J552" s="583"/>
    </row>
    <row r="553" spans="1:10" ht="20.25">
      <c r="A553" s="570"/>
      <c r="B553" s="580"/>
      <c r="C553" s="580"/>
      <c r="D553" s="580"/>
      <c r="E553" s="590"/>
      <c r="F553" s="582"/>
      <c r="G553" s="583"/>
      <c r="H553" s="583"/>
      <c r="I553" s="582"/>
      <c r="J553" s="583"/>
    </row>
    <row r="554" spans="1:10" ht="20.25">
      <c r="A554" s="570"/>
      <c r="B554" s="580"/>
      <c r="C554" s="580"/>
      <c r="D554" s="580"/>
      <c r="E554" s="590"/>
      <c r="F554" s="582"/>
      <c r="G554" s="583"/>
      <c r="H554" s="583"/>
      <c r="I554" s="582"/>
      <c r="J554" s="583"/>
    </row>
    <row r="555" spans="1:10" ht="20.25">
      <c r="A555" s="570"/>
      <c r="B555" s="580"/>
      <c r="C555" s="580"/>
      <c r="D555" s="580"/>
      <c r="E555" s="590"/>
      <c r="F555" s="582"/>
      <c r="G555" s="583"/>
      <c r="H555" s="583"/>
      <c r="I555" s="582"/>
      <c r="J555" s="583"/>
    </row>
    <row r="556" spans="1:10" ht="20.25">
      <c r="A556" s="570"/>
      <c r="B556" s="580"/>
      <c r="C556" s="580"/>
      <c r="D556" s="580"/>
      <c r="E556" s="590"/>
      <c r="F556" s="582"/>
      <c r="G556" s="583"/>
      <c r="H556" s="583"/>
      <c r="I556" s="582"/>
      <c r="J556" s="583"/>
    </row>
    <row r="557" spans="1:10" ht="20.25">
      <c r="A557" s="570"/>
      <c r="B557" s="580"/>
      <c r="C557" s="580"/>
      <c r="D557" s="580"/>
      <c r="E557" s="590"/>
      <c r="F557" s="582"/>
      <c r="G557" s="583"/>
      <c r="H557" s="583"/>
      <c r="I557" s="582"/>
      <c r="J557" s="583"/>
    </row>
    <row r="558" spans="1:10" ht="20.25">
      <c r="A558" s="570"/>
      <c r="B558" s="580"/>
      <c r="C558" s="580"/>
      <c r="D558" s="580"/>
      <c r="E558" s="590"/>
      <c r="F558" s="582"/>
      <c r="G558" s="583"/>
      <c r="H558" s="583"/>
      <c r="I558" s="582"/>
      <c r="J558" s="583"/>
    </row>
    <row r="559" spans="1:10" ht="20.25">
      <c r="A559" s="570"/>
      <c r="B559" s="580"/>
      <c r="C559" s="580"/>
      <c r="D559" s="580"/>
      <c r="E559" s="590"/>
      <c r="F559" s="582"/>
      <c r="G559" s="583"/>
      <c r="H559" s="583"/>
      <c r="I559" s="582"/>
      <c r="J559" s="583"/>
    </row>
    <row r="560" spans="1:10" ht="20.25">
      <c r="A560" s="570"/>
      <c r="B560" s="580"/>
      <c r="C560" s="580"/>
      <c r="D560" s="580"/>
      <c r="E560" s="590"/>
      <c r="F560" s="582"/>
      <c r="G560" s="583"/>
      <c r="H560" s="583"/>
      <c r="I560" s="582"/>
      <c r="J560" s="583"/>
    </row>
    <row r="561" spans="1:10" ht="20.25">
      <c r="A561" s="570"/>
      <c r="B561" s="580"/>
      <c r="C561" s="580"/>
      <c r="D561" s="580"/>
      <c r="E561" s="590"/>
      <c r="F561" s="582"/>
      <c r="G561" s="583"/>
      <c r="H561" s="583"/>
      <c r="I561" s="582"/>
      <c r="J561" s="583"/>
    </row>
    <row r="562" spans="1:10" ht="20.25">
      <c r="A562" s="570"/>
      <c r="B562" s="580"/>
      <c r="C562" s="580"/>
      <c r="D562" s="580"/>
      <c r="E562" s="590"/>
      <c r="F562" s="582"/>
      <c r="G562" s="583"/>
      <c r="H562" s="583"/>
      <c r="I562" s="582"/>
      <c r="J562" s="583"/>
    </row>
    <row r="563" spans="1:10" ht="20.25">
      <c r="A563" s="570"/>
      <c r="B563" s="580"/>
      <c r="C563" s="580"/>
      <c r="D563" s="580"/>
      <c r="E563" s="590"/>
      <c r="F563" s="582"/>
      <c r="G563" s="583"/>
      <c r="H563" s="583"/>
      <c r="I563" s="582"/>
      <c r="J563" s="583"/>
    </row>
    <row r="564" spans="1:10" ht="20.25">
      <c r="A564" s="570"/>
      <c r="B564" s="580"/>
      <c r="C564" s="580"/>
      <c r="D564" s="580"/>
      <c r="E564" s="590"/>
      <c r="F564" s="582"/>
      <c r="G564" s="583"/>
      <c r="H564" s="583"/>
      <c r="I564" s="582"/>
      <c r="J564" s="583"/>
    </row>
    <row r="565" spans="1:10" ht="20.25">
      <c r="A565" s="570"/>
      <c r="B565" s="580"/>
      <c r="C565" s="580"/>
      <c r="D565" s="580"/>
      <c r="E565" s="590"/>
      <c r="F565" s="582"/>
      <c r="G565" s="583"/>
      <c r="H565" s="583"/>
      <c r="I565" s="582"/>
      <c r="J565" s="583"/>
    </row>
    <row r="566" spans="1:10" ht="20.25">
      <c r="A566" s="570"/>
      <c r="B566" s="580"/>
      <c r="C566" s="580"/>
      <c r="D566" s="580"/>
      <c r="E566" s="590"/>
      <c r="F566" s="582"/>
      <c r="G566" s="583"/>
      <c r="H566" s="583"/>
      <c r="I566" s="582"/>
      <c r="J566" s="583"/>
    </row>
    <row r="567" spans="1:10" ht="20.25">
      <c r="A567" s="570"/>
      <c r="B567" s="580"/>
      <c r="C567" s="580"/>
      <c r="D567" s="580"/>
      <c r="E567" s="590"/>
      <c r="F567" s="582"/>
      <c r="G567" s="583"/>
      <c r="H567" s="583"/>
      <c r="I567" s="582"/>
      <c r="J567" s="583"/>
    </row>
    <row r="568" spans="1:10" ht="20.25">
      <c r="A568" s="570"/>
      <c r="B568" s="580"/>
      <c r="C568" s="580"/>
      <c r="D568" s="580"/>
      <c r="E568" s="590"/>
      <c r="F568" s="582"/>
      <c r="G568" s="583"/>
      <c r="H568" s="583"/>
      <c r="I568" s="582"/>
      <c r="J568" s="583"/>
    </row>
    <row r="569" spans="1:10" ht="20.25">
      <c r="A569" s="570"/>
      <c r="B569" s="580"/>
      <c r="C569" s="580"/>
      <c r="D569" s="580"/>
      <c r="E569" s="590"/>
      <c r="F569" s="582"/>
      <c r="G569" s="583"/>
      <c r="H569" s="583"/>
      <c r="I569" s="582"/>
      <c r="J569" s="583"/>
    </row>
    <row r="570" spans="1:10" ht="20.25">
      <c r="A570" s="570"/>
      <c r="B570" s="580"/>
      <c r="C570" s="580"/>
      <c r="D570" s="580"/>
      <c r="E570" s="590"/>
      <c r="F570" s="582"/>
      <c r="G570" s="583"/>
      <c r="H570" s="583"/>
      <c r="I570" s="582"/>
      <c r="J570" s="583"/>
    </row>
    <row r="571" spans="1:10" ht="20.25">
      <c r="A571" s="570"/>
      <c r="B571" s="580"/>
      <c r="C571" s="580"/>
      <c r="D571" s="580"/>
      <c r="E571" s="590"/>
      <c r="F571" s="582"/>
      <c r="G571" s="583"/>
      <c r="H571" s="583"/>
      <c r="I571" s="582"/>
      <c r="J571" s="583"/>
    </row>
    <row r="572" spans="1:10" ht="20.25">
      <c r="A572" s="570"/>
      <c r="B572" s="580"/>
      <c r="C572" s="580"/>
      <c r="D572" s="580"/>
      <c r="E572" s="590"/>
      <c r="F572" s="582"/>
      <c r="G572" s="583"/>
      <c r="H572" s="583"/>
      <c r="I572" s="582"/>
      <c r="J572" s="583"/>
    </row>
    <row r="573" spans="1:10" ht="20.25">
      <c r="A573" s="570"/>
      <c r="B573" s="580"/>
      <c r="C573" s="580"/>
      <c r="D573" s="580"/>
      <c r="E573" s="590"/>
      <c r="F573" s="582"/>
      <c r="G573" s="583"/>
      <c r="H573" s="583"/>
      <c r="I573" s="582"/>
      <c r="J573" s="583"/>
    </row>
    <row r="574" spans="1:10" ht="20.25">
      <c r="A574" s="570"/>
      <c r="B574" s="580"/>
      <c r="C574" s="580"/>
      <c r="D574" s="580"/>
      <c r="E574" s="590"/>
      <c r="F574" s="582"/>
      <c r="G574" s="583"/>
      <c r="H574" s="583"/>
      <c r="I574" s="582"/>
      <c r="J574" s="583"/>
    </row>
    <row r="575" spans="1:10" ht="20.25">
      <c r="A575" s="570"/>
      <c r="B575" s="580"/>
      <c r="C575" s="580"/>
      <c r="D575" s="580"/>
      <c r="E575" s="590"/>
      <c r="F575" s="582"/>
      <c r="G575" s="583"/>
      <c r="H575" s="583"/>
      <c r="I575" s="582"/>
      <c r="J575" s="583"/>
    </row>
    <row r="576" spans="1:10" ht="20.25">
      <c r="A576" s="570"/>
      <c r="B576" s="580"/>
      <c r="C576" s="580"/>
      <c r="D576" s="580"/>
      <c r="E576" s="590"/>
      <c r="F576" s="582"/>
      <c r="G576" s="583"/>
      <c r="H576" s="583"/>
      <c r="I576" s="582"/>
      <c r="J576" s="583"/>
    </row>
    <row r="577" spans="1:10" ht="20.25">
      <c r="A577" s="570"/>
      <c r="B577" s="580"/>
      <c r="C577" s="580"/>
      <c r="D577" s="580"/>
      <c r="E577" s="590"/>
      <c r="F577" s="582"/>
      <c r="G577" s="583"/>
      <c r="H577" s="583"/>
      <c r="I577" s="582"/>
      <c r="J577" s="583"/>
    </row>
    <row r="578" spans="1:10" ht="20.25">
      <c r="A578" s="570"/>
      <c r="B578" s="580"/>
      <c r="C578" s="580"/>
      <c r="D578" s="580"/>
      <c r="E578" s="590"/>
      <c r="F578" s="582"/>
      <c r="G578" s="583"/>
      <c r="H578" s="583"/>
      <c r="I578" s="582"/>
      <c r="J578" s="583"/>
    </row>
    <row r="579" spans="1:10" ht="20.25">
      <c r="A579" s="570"/>
      <c r="B579" s="580"/>
      <c r="C579" s="580"/>
      <c r="D579" s="580"/>
      <c r="E579" s="590"/>
      <c r="F579" s="582"/>
      <c r="G579" s="583"/>
      <c r="H579" s="583"/>
      <c r="I579" s="582"/>
      <c r="J579" s="583"/>
    </row>
    <row r="580" spans="1:10" ht="20.25">
      <c r="A580" s="570"/>
      <c r="B580" s="580"/>
      <c r="C580" s="580"/>
      <c r="D580" s="580"/>
      <c r="E580" s="590"/>
      <c r="F580" s="582"/>
      <c r="G580" s="583"/>
      <c r="H580" s="583"/>
      <c r="I580" s="582"/>
      <c r="J580" s="583"/>
    </row>
    <row r="581" spans="1:10" ht="20.25">
      <c r="A581" s="570"/>
      <c r="B581" s="580"/>
      <c r="C581" s="580"/>
      <c r="D581" s="580"/>
      <c r="E581" s="590"/>
      <c r="F581" s="582"/>
      <c r="G581" s="583"/>
      <c r="H581" s="583"/>
      <c r="I581" s="582"/>
      <c r="J581" s="583"/>
    </row>
    <row r="582" spans="1:10" ht="20.25">
      <c r="A582" s="570"/>
      <c r="B582" s="580"/>
      <c r="C582" s="580"/>
      <c r="D582" s="580"/>
      <c r="E582" s="590"/>
      <c r="F582" s="582"/>
      <c r="G582" s="583"/>
      <c r="H582" s="583"/>
      <c r="I582" s="582"/>
      <c r="J582" s="583"/>
    </row>
    <row r="583" spans="1:10" ht="20.25">
      <c r="A583" s="570"/>
      <c r="B583" s="580"/>
      <c r="C583" s="580"/>
      <c r="D583" s="580"/>
      <c r="E583" s="590"/>
      <c r="F583" s="582"/>
      <c r="G583" s="583"/>
      <c r="H583" s="583"/>
      <c r="I583" s="582"/>
      <c r="J583" s="583"/>
    </row>
    <row r="584" spans="1:10" ht="20.25">
      <c r="A584" s="570"/>
      <c r="B584" s="580"/>
      <c r="C584" s="580"/>
      <c r="D584" s="580"/>
      <c r="E584" s="590"/>
      <c r="F584" s="582"/>
      <c r="G584" s="583"/>
      <c r="H584" s="583"/>
      <c r="I584" s="582"/>
      <c r="J584" s="583"/>
    </row>
    <row r="585" spans="1:10" ht="20.25">
      <c r="A585" s="570"/>
      <c r="B585" s="580"/>
      <c r="C585" s="580"/>
      <c r="D585" s="580"/>
      <c r="E585" s="590"/>
      <c r="F585" s="582"/>
      <c r="G585" s="583"/>
      <c r="H585" s="583"/>
      <c r="I585" s="582"/>
      <c r="J585" s="583"/>
    </row>
    <row r="586" spans="1:10" ht="20.25">
      <c r="A586" s="570"/>
      <c r="B586" s="580"/>
      <c r="C586" s="580"/>
      <c r="D586" s="580"/>
      <c r="E586" s="590"/>
      <c r="F586" s="582"/>
      <c r="G586" s="583"/>
      <c r="H586" s="583"/>
      <c r="I586" s="582"/>
      <c r="J586" s="583"/>
    </row>
    <row r="587" spans="1:10" ht="20.25">
      <c r="A587" s="570"/>
      <c r="B587" s="580"/>
      <c r="C587" s="580"/>
      <c r="D587" s="580"/>
      <c r="E587" s="590"/>
      <c r="F587" s="582"/>
      <c r="G587" s="583"/>
      <c r="H587" s="583"/>
      <c r="I587" s="582"/>
      <c r="J587" s="583"/>
    </row>
    <row r="588" spans="1:10" ht="20.25">
      <c r="A588" s="570"/>
      <c r="B588" s="580"/>
      <c r="C588" s="580"/>
      <c r="D588" s="580"/>
      <c r="E588" s="590"/>
      <c r="F588" s="582"/>
      <c r="G588" s="583"/>
      <c r="H588" s="583"/>
      <c r="I588" s="582"/>
      <c r="J588" s="583"/>
    </row>
    <row r="589" spans="1:10" ht="20.25">
      <c r="A589" s="570"/>
      <c r="B589" s="580"/>
      <c r="C589" s="580"/>
      <c r="D589" s="580"/>
      <c r="E589" s="590"/>
      <c r="F589" s="582"/>
      <c r="G589" s="583"/>
      <c r="H589" s="583"/>
      <c r="I589" s="582"/>
      <c r="J589" s="583"/>
    </row>
    <row r="590" spans="1:10" ht="20.25">
      <c r="A590" s="570"/>
      <c r="B590" s="580"/>
      <c r="C590" s="580"/>
      <c r="D590" s="580"/>
      <c r="E590" s="590"/>
      <c r="F590" s="582"/>
      <c r="G590" s="583"/>
      <c r="H590" s="583"/>
      <c r="I590" s="582"/>
      <c r="J590" s="583"/>
    </row>
    <row r="591" spans="1:10" ht="20.25">
      <c r="A591" s="570"/>
      <c r="B591" s="580"/>
      <c r="C591" s="580"/>
      <c r="D591" s="580"/>
      <c r="E591" s="590"/>
      <c r="F591" s="582"/>
      <c r="G591" s="583"/>
      <c r="H591" s="583"/>
      <c r="I591" s="582"/>
      <c r="J591" s="583"/>
    </row>
    <row r="592" spans="1:10" ht="20.25">
      <c r="A592" s="570"/>
      <c r="B592" s="580"/>
      <c r="C592" s="580"/>
      <c r="D592" s="580"/>
      <c r="E592" s="590"/>
      <c r="F592" s="582"/>
      <c r="G592" s="583"/>
      <c r="H592" s="583"/>
      <c r="I592" s="582"/>
      <c r="J592" s="583"/>
    </row>
    <row r="593" spans="1:10" ht="20.25">
      <c r="A593" s="570"/>
      <c r="B593" s="580"/>
      <c r="C593" s="580"/>
      <c r="D593" s="580"/>
      <c r="E593" s="590"/>
      <c r="F593" s="582"/>
      <c r="G593" s="583"/>
      <c r="H593" s="583"/>
      <c r="I593" s="582"/>
      <c r="J593" s="583"/>
    </row>
    <row r="594" spans="1:10" ht="20.25">
      <c r="A594" s="570"/>
      <c r="B594" s="580"/>
      <c r="C594" s="580"/>
      <c r="D594" s="580"/>
      <c r="E594" s="590"/>
      <c r="F594" s="582"/>
      <c r="G594" s="583"/>
      <c r="H594" s="583"/>
      <c r="I594" s="582"/>
      <c r="J594" s="583"/>
    </row>
    <row r="595" spans="1:10" ht="20.25">
      <c r="A595" s="570"/>
      <c r="B595" s="580"/>
      <c r="C595" s="580"/>
      <c r="D595" s="580"/>
      <c r="E595" s="590"/>
      <c r="F595" s="582"/>
      <c r="G595" s="583"/>
      <c r="H595" s="583"/>
      <c r="I595" s="582"/>
      <c r="J595" s="583"/>
    </row>
    <row r="596" spans="1:10" ht="20.25">
      <c r="A596" s="570"/>
      <c r="B596" s="580"/>
      <c r="C596" s="580"/>
      <c r="D596" s="580"/>
      <c r="E596" s="590"/>
      <c r="F596" s="582"/>
      <c r="G596" s="583"/>
      <c r="H596" s="583"/>
      <c r="I596" s="582"/>
      <c r="J596" s="583"/>
    </row>
    <row r="597" spans="1:10" ht="20.25">
      <c r="A597" s="570"/>
      <c r="B597" s="580"/>
      <c r="C597" s="580"/>
      <c r="D597" s="580"/>
      <c r="E597" s="590"/>
      <c r="F597" s="582"/>
      <c r="G597" s="583"/>
      <c r="H597" s="583"/>
      <c r="I597" s="582"/>
      <c r="J597" s="583"/>
    </row>
    <row r="598" spans="1:10" ht="20.25">
      <c r="A598" s="570"/>
      <c r="B598" s="580"/>
      <c r="C598" s="580"/>
      <c r="D598" s="580"/>
      <c r="E598" s="590"/>
      <c r="F598" s="582"/>
      <c r="G598" s="583"/>
      <c r="H598" s="583"/>
      <c r="I598" s="582"/>
      <c r="J598" s="583"/>
    </row>
    <row r="599" spans="1:10" ht="20.25">
      <c r="A599" s="570"/>
      <c r="B599" s="580"/>
      <c r="C599" s="580"/>
      <c r="D599" s="580"/>
      <c r="E599" s="590"/>
      <c r="F599" s="582"/>
      <c r="G599" s="583"/>
      <c r="H599" s="583"/>
      <c r="I599" s="582"/>
      <c r="J599" s="583"/>
    </row>
    <row r="600" spans="1:10" ht="20.25">
      <c r="A600" s="570"/>
      <c r="B600" s="580"/>
      <c r="C600" s="580"/>
      <c r="D600" s="580"/>
      <c r="E600" s="590"/>
      <c r="F600" s="582"/>
      <c r="G600" s="583"/>
      <c r="H600" s="583"/>
      <c r="I600" s="582"/>
      <c r="J600" s="583"/>
    </row>
    <row r="601" spans="1:10" ht="20.25">
      <c r="A601" s="570"/>
      <c r="B601" s="580"/>
      <c r="C601" s="580"/>
      <c r="D601" s="580"/>
      <c r="E601" s="590"/>
      <c r="F601" s="582"/>
      <c r="G601" s="583"/>
      <c r="H601" s="583"/>
      <c r="I601" s="582"/>
      <c r="J601" s="583"/>
    </row>
    <row r="602" spans="1:10" ht="20.25">
      <c r="A602" s="570"/>
      <c r="B602" s="580"/>
      <c r="C602" s="580"/>
      <c r="D602" s="580"/>
      <c r="E602" s="590"/>
      <c r="F602" s="582"/>
      <c r="G602" s="583"/>
      <c r="H602" s="583"/>
      <c r="I602" s="582"/>
      <c r="J602" s="583"/>
    </row>
    <row r="603" spans="1:10" ht="20.25">
      <c r="A603" s="570"/>
      <c r="B603" s="580"/>
      <c r="C603" s="580"/>
      <c r="D603" s="580"/>
      <c r="E603" s="590"/>
      <c r="F603" s="582"/>
      <c r="G603" s="583"/>
      <c r="H603" s="583"/>
      <c r="I603" s="582"/>
      <c r="J603" s="583"/>
    </row>
    <row r="604" spans="1:10" ht="20.25">
      <c r="A604" s="570"/>
      <c r="B604" s="580"/>
      <c r="C604" s="580"/>
      <c r="D604" s="580"/>
      <c r="E604" s="590"/>
      <c r="F604" s="582"/>
      <c r="G604" s="583"/>
      <c r="H604" s="583"/>
      <c r="I604" s="582"/>
      <c r="J604" s="583"/>
    </row>
    <row r="605" spans="1:10" ht="20.25">
      <c r="A605" s="570"/>
      <c r="B605" s="580"/>
      <c r="C605" s="580"/>
      <c r="D605" s="580"/>
      <c r="E605" s="590"/>
      <c r="F605" s="582"/>
      <c r="G605" s="583"/>
      <c r="H605" s="583"/>
      <c r="I605" s="582"/>
      <c r="J605" s="583"/>
    </row>
    <row r="606" spans="1:10" ht="20.25">
      <c r="A606" s="570"/>
      <c r="B606" s="580"/>
      <c r="C606" s="580"/>
      <c r="D606" s="580"/>
      <c r="E606" s="590"/>
      <c r="F606" s="582"/>
      <c r="G606" s="583"/>
      <c r="H606" s="583"/>
      <c r="I606" s="582"/>
      <c r="J606" s="583"/>
    </row>
    <row r="607" spans="1:10" ht="20.25">
      <c r="A607" s="570"/>
      <c r="B607" s="580"/>
      <c r="C607" s="580"/>
      <c r="D607" s="580"/>
      <c r="E607" s="590"/>
      <c r="F607" s="582"/>
      <c r="G607" s="583"/>
      <c r="H607" s="583"/>
      <c r="I607" s="582"/>
      <c r="J607" s="583"/>
    </row>
    <row r="608" spans="1:10" ht="20.25">
      <c r="A608" s="570"/>
      <c r="B608" s="580"/>
      <c r="C608" s="580"/>
      <c r="D608" s="580"/>
      <c r="E608" s="590"/>
      <c r="F608" s="582"/>
      <c r="G608" s="583"/>
      <c r="H608" s="583"/>
      <c r="I608" s="582"/>
      <c r="J608" s="583"/>
    </row>
    <row r="609" spans="1:10" ht="20.25">
      <c r="A609" s="570"/>
      <c r="B609" s="580"/>
      <c r="C609" s="580"/>
      <c r="D609" s="580"/>
      <c r="E609" s="590"/>
      <c r="F609" s="582"/>
      <c r="G609" s="583"/>
      <c r="H609" s="583"/>
      <c r="I609" s="582"/>
      <c r="J609" s="583"/>
    </row>
    <row r="610" spans="1:10" ht="20.25">
      <c r="A610" s="570"/>
      <c r="B610" s="580"/>
      <c r="C610" s="580"/>
      <c r="D610" s="580"/>
      <c r="E610" s="590"/>
      <c r="F610" s="582"/>
      <c r="G610" s="583"/>
      <c r="H610" s="583"/>
      <c r="I610" s="582"/>
      <c r="J610" s="583"/>
    </row>
    <row r="611" spans="1:10" ht="20.25">
      <c r="A611" s="570"/>
      <c r="B611" s="580"/>
      <c r="C611" s="580"/>
      <c r="D611" s="580"/>
      <c r="E611" s="590"/>
      <c r="F611" s="582"/>
      <c r="G611" s="583"/>
      <c r="H611" s="583"/>
      <c r="I611" s="582"/>
      <c r="J611" s="583"/>
    </row>
    <row r="612" spans="1:10" ht="20.25">
      <c r="A612" s="570"/>
      <c r="B612" s="580"/>
      <c r="C612" s="580"/>
      <c r="D612" s="580"/>
      <c r="E612" s="590"/>
      <c r="F612" s="582"/>
      <c r="G612" s="583"/>
      <c r="H612" s="583"/>
      <c r="I612" s="582"/>
      <c r="J612" s="583"/>
    </row>
    <row r="613" spans="1:10" ht="20.25">
      <c r="A613" s="570"/>
      <c r="B613" s="580"/>
      <c r="C613" s="580"/>
      <c r="D613" s="580"/>
      <c r="E613" s="590"/>
      <c r="F613" s="582"/>
      <c r="G613" s="583"/>
      <c r="H613" s="583"/>
      <c r="I613" s="582"/>
      <c r="J613" s="583"/>
    </row>
    <row r="614" spans="1:10" ht="20.25">
      <c r="A614" s="570"/>
      <c r="B614" s="580"/>
      <c r="C614" s="580"/>
      <c r="D614" s="580"/>
      <c r="E614" s="590"/>
      <c r="F614" s="582"/>
      <c r="G614" s="583"/>
      <c r="H614" s="583"/>
      <c r="I614" s="582"/>
      <c r="J614" s="583"/>
    </row>
    <row r="615" spans="1:10" ht="20.25">
      <c r="A615" s="570"/>
      <c r="B615" s="580"/>
      <c r="C615" s="580"/>
      <c r="D615" s="580"/>
      <c r="E615" s="590"/>
      <c r="F615" s="582"/>
      <c r="G615" s="583"/>
      <c r="H615" s="583"/>
      <c r="I615" s="582"/>
      <c r="J615" s="583"/>
    </row>
    <row r="616" spans="1:10" ht="20.25">
      <c r="A616" s="570"/>
      <c r="B616" s="580"/>
      <c r="C616" s="580"/>
      <c r="D616" s="580"/>
      <c r="E616" s="590"/>
      <c r="F616" s="582"/>
      <c r="G616" s="583"/>
      <c r="H616" s="583"/>
      <c r="I616" s="582"/>
      <c r="J616" s="583"/>
    </row>
    <row r="617" spans="1:10" ht="20.25">
      <c r="A617" s="570"/>
      <c r="B617" s="580"/>
      <c r="C617" s="580"/>
      <c r="D617" s="580"/>
      <c r="E617" s="590"/>
      <c r="F617" s="582"/>
      <c r="G617" s="583"/>
      <c r="H617" s="583"/>
      <c r="I617" s="582"/>
      <c r="J617" s="583"/>
    </row>
    <row r="618" spans="1:10" ht="20.25">
      <c r="A618" s="570"/>
      <c r="B618" s="580"/>
      <c r="C618" s="580"/>
      <c r="D618" s="580"/>
      <c r="E618" s="590"/>
      <c r="F618" s="582"/>
      <c r="G618" s="583"/>
      <c r="H618" s="583"/>
      <c r="I618" s="582"/>
      <c r="J618" s="583"/>
    </row>
    <row r="619" spans="1:10" ht="20.25">
      <c r="A619" s="570"/>
      <c r="B619" s="580"/>
      <c r="C619" s="580"/>
      <c r="D619" s="580"/>
      <c r="E619" s="590"/>
      <c r="F619" s="582"/>
      <c r="G619" s="583"/>
      <c r="H619" s="583"/>
      <c r="I619" s="582"/>
      <c r="J619" s="583"/>
    </row>
    <row r="620" spans="1:10" ht="20.25">
      <c r="A620" s="570"/>
      <c r="B620" s="580"/>
      <c r="C620" s="580"/>
      <c r="D620" s="580"/>
      <c r="E620" s="590"/>
      <c r="F620" s="582"/>
      <c r="G620" s="583"/>
      <c r="H620" s="583"/>
      <c r="I620" s="582"/>
      <c r="J620" s="583"/>
    </row>
    <row r="621" spans="1:10" ht="20.25">
      <c r="A621" s="570"/>
      <c r="B621" s="580"/>
      <c r="C621" s="580"/>
      <c r="D621" s="580"/>
      <c r="E621" s="590"/>
      <c r="F621" s="582"/>
      <c r="G621" s="583"/>
      <c r="H621" s="583"/>
      <c r="I621" s="582"/>
      <c r="J621" s="583"/>
    </row>
    <row r="622" spans="1:10" ht="20.25">
      <c r="A622" s="570"/>
      <c r="B622" s="580"/>
      <c r="C622" s="580"/>
      <c r="D622" s="580"/>
      <c r="E622" s="590"/>
      <c r="F622" s="582"/>
      <c r="G622" s="583"/>
      <c r="H622" s="583"/>
      <c r="I622" s="582"/>
      <c r="J622" s="583"/>
    </row>
    <row r="623" spans="1:10" ht="20.25">
      <c r="A623" s="570"/>
      <c r="B623" s="580"/>
      <c r="C623" s="580"/>
      <c r="D623" s="580"/>
      <c r="E623" s="590"/>
      <c r="F623" s="582"/>
      <c r="G623" s="583"/>
      <c r="H623" s="583"/>
      <c r="I623" s="582"/>
      <c r="J623" s="583"/>
    </row>
    <row r="624" spans="1:10" ht="20.25">
      <c r="A624" s="570"/>
      <c r="B624" s="580"/>
      <c r="C624" s="580"/>
      <c r="D624" s="580"/>
      <c r="E624" s="590"/>
      <c r="F624" s="582"/>
      <c r="G624" s="583"/>
      <c r="H624" s="583"/>
      <c r="I624" s="582"/>
      <c r="J624" s="583"/>
    </row>
    <row r="625" spans="1:10" ht="20.25">
      <c r="A625" s="570"/>
      <c r="B625" s="580"/>
      <c r="C625" s="580"/>
      <c r="D625" s="580"/>
      <c r="E625" s="590"/>
      <c r="F625" s="582"/>
      <c r="G625" s="583"/>
      <c r="H625" s="583"/>
      <c r="I625" s="582"/>
      <c r="J625" s="583"/>
    </row>
    <row r="626" spans="1:10" ht="20.25">
      <c r="A626" s="570"/>
      <c r="B626" s="580"/>
      <c r="C626" s="580"/>
      <c r="D626" s="580"/>
      <c r="E626" s="590"/>
      <c r="F626" s="582"/>
      <c r="G626" s="583"/>
      <c r="H626" s="583"/>
      <c r="I626" s="582"/>
      <c r="J626" s="583"/>
    </row>
    <row r="627" spans="1:10" ht="20.25">
      <c r="A627" s="570"/>
      <c r="B627" s="580"/>
      <c r="C627" s="580"/>
      <c r="D627" s="580"/>
      <c r="E627" s="590"/>
      <c r="F627" s="582"/>
      <c r="G627" s="583"/>
      <c r="H627" s="583"/>
      <c r="I627" s="582"/>
      <c r="J627" s="583"/>
    </row>
    <row r="628" spans="1:10" ht="20.25">
      <c r="A628" s="570"/>
      <c r="B628" s="580"/>
      <c r="C628" s="580"/>
      <c r="D628" s="580"/>
      <c r="E628" s="590"/>
      <c r="F628" s="582"/>
      <c r="G628" s="583"/>
      <c r="H628" s="583"/>
      <c r="I628" s="582"/>
      <c r="J628" s="583"/>
    </row>
    <row r="629" spans="1:10" ht="20.25">
      <c r="A629" s="570"/>
      <c r="B629" s="580"/>
      <c r="C629" s="580"/>
      <c r="D629" s="580"/>
      <c r="E629" s="590"/>
      <c r="F629" s="582"/>
      <c r="G629" s="583"/>
      <c r="H629" s="583"/>
      <c r="I629" s="582"/>
      <c r="J629" s="583"/>
    </row>
    <row r="630" spans="1:10" ht="20.25">
      <c r="A630" s="570"/>
      <c r="B630" s="580"/>
      <c r="C630" s="580"/>
      <c r="D630" s="580"/>
      <c r="E630" s="590"/>
      <c r="F630" s="582"/>
      <c r="G630" s="583"/>
      <c r="H630" s="583"/>
      <c r="I630" s="582"/>
      <c r="J630" s="583"/>
    </row>
    <row r="631" spans="1:10" ht="20.25">
      <c r="A631" s="570"/>
      <c r="B631" s="580"/>
      <c r="C631" s="580"/>
      <c r="D631" s="580"/>
      <c r="E631" s="590"/>
      <c r="F631" s="582"/>
      <c r="G631" s="583"/>
      <c r="H631" s="583"/>
      <c r="I631" s="582"/>
      <c r="J631" s="583"/>
    </row>
    <row r="632" spans="1:10" ht="20.25">
      <c r="A632" s="570"/>
      <c r="B632" s="580"/>
      <c r="C632" s="580"/>
      <c r="D632" s="580"/>
      <c r="E632" s="590"/>
      <c r="F632" s="582"/>
      <c r="G632" s="583"/>
      <c r="H632" s="583"/>
      <c r="I632" s="582"/>
      <c r="J632" s="583"/>
    </row>
    <row r="633" spans="1:10" ht="20.25">
      <c r="A633" s="570"/>
      <c r="B633" s="580"/>
      <c r="C633" s="580"/>
      <c r="D633" s="580"/>
      <c r="E633" s="590"/>
      <c r="F633" s="582"/>
      <c r="G633" s="583"/>
      <c r="H633" s="583"/>
      <c r="I633" s="582"/>
      <c r="J633" s="583"/>
    </row>
    <row r="634" spans="1:10" ht="20.25">
      <c r="A634" s="570"/>
      <c r="B634" s="580"/>
      <c r="C634" s="580"/>
      <c r="D634" s="580"/>
      <c r="E634" s="590"/>
      <c r="F634" s="582"/>
      <c r="G634" s="583"/>
      <c r="H634" s="583"/>
      <c r="I634" s="582"/>
      <c r="J634" s="583"/>
    </row>
    <row r="635" spans="1:10" ht="20.25">
      <c r="A635" s="570"/>
      <c r="B635" s="580"/>
      <c r="C635" s="580"/>
      <c r="D635" s="580"/>
      <c r="E635" s="590"/>
      <c r="F635" s="582"/>
      <c r="G635" s="583"/>
      <c r="H635" s="583"/>
      <c r="I635" s="582"/>
      <c r="J635" s="583"/>
    </row>
    <row r="636" spans="1:10" ht="20.25">
      <c r="A636" s="570"/>
      <c r="B636" s="580"/>
      <c r="C636" s="580"/>
      <c r="D636" s="580"/>
      <c r="E636" s="590"/>
      <c r="F636" s="582"/>
      <c r="G636" s="583"/>
      <c r="H636" s="583"/>
      <c r="I636" s="582"/>
      <c r="J636" s="583"/>
    </row>
    <row r="637" spans="1:10" ht="20.25">
      <c r="A637" s="570"/>
      <c r="B637" s="580"/>
      <c r="C637" s="580"/>
      <c r="D637" s="580"/>
      <c r="E637" s="590"/>
      <c r="F637" s="582"/>
      <c r="G637" s="583"/>
      <c r="H637" s="583"/>
      <c r="I637" s="582"/>
      <c r="J637" s="583"/>
    </row>
    <row r="638" spans="1:10" ht="20.25">
      <c r="A638" s="570"/>
      <c r="B638" s="580"/>
      <c r="C638" s="580"/>
      <c r="D638" s="580"/>
      <c r="E638" s="590"/>
      <c r="F638" s="582"/>
      <c r="G638" s="583"/>
      <c r="H638" s="583"/>
      <c r="I638" s="582"/>
      <c r="J638" s="583"/>
    </row>
    <row r="639" spans="1:10" ht="20.25">
      <c r="A639" s="570"/>
      <c r="B639" s="580"/>
      <c r="C639" s="580"/>
      <c r="D639" s="580"/>
      <c r="E639" s="590"/>
      <c r="F639" s="582"/>
      <c r="G639" s="583"/>
      <c r="H639" s="583"/>
      <c r="I639" s="582"/>
      <c r="J639" s="583"/>
    </row>
    <row r="640" spans="1:10" ht="20.25">
      <c r="A640" s="570"/>
      <c r="B640" s="580"/>
      <c r="C640" s="580"/>
      <c r="D640" s="580"/>
      <c r="E640" s="590"/>
      <c r="F640" s="582"/>
      <c r="G640" s="583"/>
      <c r="H640" s="583"/>
      <c r="I640" s="582"/>
      <c r="J640" s="583"/>
    </row>
    <row r="641" spans="1:10" ht="20.25">
      <c r="A641" s="570"/>
      <c r="B641" s="580"/>
      <c r="C641" s="580"/>
      <c r="D641" s="580"/>
      <c r="E641" s="590"/>
      <c r="F641" s="582"/>
      <c r="G641" s="583"/>
      <c r="H641" s="583"/>
      <c r="I641" s="582"/>
      <c r="J641" s="583"/>
    </row>
    <row r="642" spans="1:10" ht="20.25">
      <c r="A642" s="570"/>
      <c r="B642" s="580"/>
      <c r="C642" s="580"/>
      <c r="D642" s="580"/>
      <c r="E642" s="590"/>
      <c r="F642" s="582"/>
      <c r="G642" s="583"/>
      <c r="H642" s="583"/>
      <c r="I642" s="582"/>
      <c r="J642" s="583"/>
    </row>
    <row r="643" spans="1:10" ht="20.25">
      <c r="A643" s="570"/>
      <c r="B643" s="580"/>
      <c r="C643" s="580"/>
      <c r="D643" s="580"/>
      <c r="E643" s="590"/>
      <c r="F643" s="582"/>
      <c r="G643" s="583"/>
      <c r="H643" s="583"/>
      <c r="I643" s="582"/>
      <c r="J643" s="583"/>
    </row>
    <row r="644" spans="1:10" ht="20.25">
      <c r="A644" s="570"/>
      <c r="B644" s="580"/>
      <c r="C644" s="580"/>
      <c r="D644" s="580"/>
      <c r="E644" s="590"/>
      <c r="F644" s="582"/>
      <c r="G644" s="583"/>
      <c r="H644" s="583"/>
      <c r="I644" s="582"/>
      <c r="J644" s="583"/>
    </row>
    <row r="645" spans="1:10" ht="20.25">
      <c r="A645" s="570"/>
      <c r="B645" s="580"/>
      <c r="C645" s="580"/>
      <c r="D645" s="580"/>
      <c r="E645" s="590"/>
      <c r="F645" s="582"/>
      <c r="G645" s="583"/>
      <c r="H645" s="583"/>
      <c r="I645" s="582"/>
      <c r="J645" s="583"/>
    </row>
    <row r="646" spans="1:10" ht="20.25">
      <c r="A646" s="570"/>
      <c r="B646" s="580"/>
      <c r="C646" s="580"/>
      <c r="D646" s="580"/>
      <c r="E646" s="590"/>
      <c r="F646" s="582"/>
      <c r="G646" s="583"/>
      <c r="H646" s="583"/>
      <c r="I646" s="582"/>
      <c r="J646" s="583"/>
    </row>
    <row r="647" spans="1:10" ht="20.25">
      <c r="A647" s="570"/>
      <c r="B647" s="580"/>
      <c r="C647" s="580"/>
      <c r="D647" s="580"/>
      <c r="E647" s="590"/>
      <c r="F647" s="582"/>
      <c r="G647" s="583"/>
      <c r="H647" s="583"/>
      <c r="I647" s="582"/>
      <c r="J647" s="583"/>
    </row>
    <row r="648" spans="1:10" ht="20.25">
      <c r="A648" s="570"/>
      <c r="B648" s="580"/>
      <c r="C648" s="580"/>
      <c r="D648" s="580"/>
      <c r="E648" s="590"/>
      <c r="F648" s="582"/>
      <c r="G648" s="583"/>
      <c r="H648" s="583"/>
      <c r="I648" s="582"/>
      <c r="J648" s="583"/>
    </row>
    <row r="649" spans="1:10" ht="20.25">
      <c r="A649" s="570"/>
      <c r="B649" s="580"/>
      <c r="C649" s="580"/>
      <c r="D649" s="580"/>
      <c r="E649" s="590"/>
      <c r="F649" s="582"/>
      <c r="G649" s="583"/>
      <c r="H649" s="583"/>
      <c r="I649" s="582"/>
      <c r="J649" s="583"/>
    </row>
    <row r="650" spans="1:10" ht="20.25">
      <c r="A650" s="570"/>
      <c r="B650" s="580"/>
      <c r="C650" s="580"/>
      <c r="D650" s="580"/>
      <c r="E650" s="590"/>
      <c r="F650" s="582"/>
      <c r="G650" s="583"/>
      <c r="H650" s="583"/>
      <c r="I650" s="582"/>
      <c r="J650" s="583"/>
    </row>
    <row r="651" spans="1:10" ht="20.25">
      <c r="A651" s="570"/>
      <c r="B651" s="580"/>
      <c r="C651" s="580"/>
      <c r="D651" s="580"/>
      <c r="E651" s="590"/>
      <c r="F651" s="582"/>
      <c r="G651" s="583"/>
      <c r="H651" s="583"/>
      <c r="I651" s="582"/>
      <c r="J651" s="583"/>
    </row>
    <row r="652" spans="1:10" ht="20.25">
      <c r="A652" s="570"/>
      <c r="B652" s="580"/>
      <c r="C652" s="580"/>
      <c r="D652" s="580"/>
      <c r="E652" s="590"/>
      <c r="F652" s="582"/>
      <c r="G652" s="583"/>
      <c r="H652" s="583"/>
      <c r="I652" s="582"/>
      <c r="J652" s="583"/>
    </row>
    <row r="653" spans="1:10" ht="20.25">
      <c r="A653" s="570"/>
      <c r="B653" s="580"/>
      <c r="C653" s="580"/>
      <c r="D653" s="580"/>
      <c r="E653" s="590"/>
      <c r="F653" s="582"/>
      <c r="G653" s="583"/>
      <c r="H653" s="583"/>
      <c r="I653" s="582"/>
      <c r="J653" s="583"/>
    </row>
    <row r="654" spans="1:10" ht="20.25">
      <c r="A654" s="570"/>
      <c r="B654" s="580"/>
      <c r="C654" s="580"/>
      <c r="D654" s="580"/>
      <c r="E654" s="590"/>
      <c r="F654" s="582"/>
      <c r="G654" s="583"/>
      <c r="H654" s="583"/>
      <c r="I654" s="582"/>
      <c r="J654" s="583"/>
    </row>
    <row r="655" spans="1:10" ht="20.25">
      <c r="A655" s="570"/>
      <c r="B655" s="580"/>
      <c r="C655" s="580"/>
      <c r="D655" s="580"/>
      <c r="E655" s="590"/>
      <c r="F655" s="582"/>
      <c r="G655" s="583"/>
      <c r="H655" s="583"/>
      <c r="I655" s="582"/>
      <c r="J655" s="583"/>
    </row>
    <row r="656" spans="1:10" ht="20.25">
      <c r="A656" s="570"/>
      <c r="B656" s="580"/>
      <c r="C656" s="580"/>
      <c r="D656" s="580"/>
      <c r="E656" s="590"/>
      <c r="F656" s="582"/>
      <c r="G656" s="583"/>
      <c r="H656" s="583"/>
      <c r="I656" s="582"/>
      <c r="J656" s="583"/>
    </row>
    <row r="657" spans="1:10" ht="20.25">
      <c r="A657" s="570"/>
      <c r="B657" s="580"/>
      <c r="C657" s="580"/>
      <c r="D657" s="580"/>
      <c r="E657" s="590"/>
      <c r="F657" s="582"/>
      <c r="G657" s="583"/>
      <c r="H657" s="583"/>
      <c r="I657" s="582"/>
      <c r="J657" s="583"/>
    </row>
    <row r="658" spans="1:10" ht="20.25">
      <c r="A658" s="570"/>
      <c r="B658" s="580"/>
      <c r="C658" s="580"/>
      <c r="D658" s="580"/>
      <c r="E658" s="590"/>
      <c r="F658" s="582"/>
      <c r="G658" s="583"/>
      <c r="H658" s="583"/>
      <c r="I658" s="582"/>
      <c r="J658" s="583"/>
    </row>
    <row r="659" spans="1:10" ht="20.25">
      <c r="A659" s="570"/>
      <c r="B659" s="580"/>
      <c r="C659" s="580"/>
      <c r="D659" s="580"/>
      <c r="E659" s="590"/>
      <c r="F659" s="582"/>
      <c r="G659" s="583"/>
      <c r="H659" s="583"/>
      <c r="I659" s="582"/>
      <c r="J659" s="583"/>
    </row>
    <row r="660" spans="1:10" ht="20.25">
      <c r="A660" s="570"/>
      <c r="B660" s="580"/>
      <c r="C660" s="580"/>
      <c r="D660" s="580"/>
      <c r="E660" s="590"/>
      <c r="F660" s="582"/>
      <c r="G660" s="583"/>
      <c r="H660" s="583"/>
      <c r="I660" s="582"/>
      <c r="J660" s="583"/>
    </row>
    <row r="661" spans="1:10" ht="20.25">
      <c r="A661" s="570"/>
      <c r="B661" s="580"/>
      <c r="C661" s="580"/>
      <c r="D661" s="580"/>
      <c r="E661" s="590"/>
      <c r="F661" s="582"/>
      <c r="G661" s="583"/>
      <c r="H661" s="583"/>
      <c r="I661" s="582"/>
      <c r="J661" s="583"/>
    </row>
    <row r="662" spans="1:10" ht="20.25">
      <c r="A662" s="570"/>
      <c r="B662" s="580"/>
      <c r="C662" s="580"/>
      <c r="D662" s="580"/>
      <c r="E662" s="590"/>
      <c r="F662" s="582"/>
      <c r="G662" s="583"/>
      <c r="H662" s="583"/>
      <c r="I662" s="582"/>
      <c r="J662" s="583"/>
    </row>
    <row r="663" spans="1:10" ht="20.25">
      <c r="A663" s="570"/>
      <c r="B663" s="580"/>
      <c r="C663" s="580"/>
      <c r="D663" s="580"/>
      <c r="E663" s="590"/>
      <c r="F663" s="582"/>
      <c r="G663" s="583"/>
      <c r="H663" s="583"/>
      <c r="I663" s="582"/>
      <c r="J663" s="583"/>
    </row>
    <row r="664" spans="1:10" ht="20.25">
      <c r="A664" s="570"/>
      <c r="B664" s="580"/>
      <c r="C664" s="580"/>
      <c r="D664" s="580"/>
      <c r="E664" s="590"/>
      <c r="F664" s="582"/>
      <c r="G664" s="583"/>
      <c r="H664" s="583"/>
      <c r="I664" s="582"/>
      <c r="J664" s="583"/>
    </row>
    <row r="665" spans="1:10" ht="20.25">
      <c r="A665" s="570"/>
      <c r="B665" s="580"/>
      <c r="C665" s="580"/>
      <c r="D665" s="580"/>
      <c r="E665" s="590"/>
      <c r="F665" s="582"/>
      <c r="G665" s="583"/>
      <c r="H665" s="583"/>
      <c r="I665" s="582"/>
      <c r="J665" s="583"/>
    </row>
    <row r="666" spans="1:10" ht="20.25">
      <c r="A666" s="570"/>
      <c r="B666" s="580"/>
      <c r="C666" s="580"/>
      <c r="D666" s="580"/>
      <c r="E666" s="590"/>
      <c r="F666" s="582"/>
      <c r="G666" s="583"/>
      <c r="H666" s="583"/>
      <c r="I666" s="582"/>
      <c r="J666" s="583"/>
    </row>
    <row r="667" spans="1:10" ht="20.25">
      <c r="A667" s="570"/>
      <c r="B667" s="580"/>
      <c r="C667" s="580"/>
      <c r="D667" s="580"/>
      <c r="E667" s="590"/>
      <c r="F667" s="582"/>
      <c r="G667" s="583"/>
      <c r="H667" s="583"/>
      <c r="I667" s="582"/>
      <c r="J667" s="583"/>
    </row>
    <row r="668" spans="1:10" ht="20.25">
      <c r="A668" s="570"/>
      <c r="B668" s="580"/>
      <c r="C668" s="580"/>
      <c r="D668" s="580"/>
      <c r="E668" s="590"/>
      <c r="F668" s="582"/>
      <c r="G668" s="583"/>
      <c r="H668" s="583"/>
      <c r="I668" s="582"/>
      <c r="J668" s="583"/>
    </row>
    <row r="669" spans="1:10" ht="20.25">
      <c r="A669" s="570"/>
      <c r="B669" s="580"/>
      <c r="C669" s="580"/>
      <c r="D669" s="580"/>
      <c r="E669" s="590"/>
      <c r="F669" s="582"/>
      <c r="G669" s="583"/>
      <c r="H669" s="583"/>
      <c r="I669" s="582"/>
      <c r="J669" s="583"/>
    </row>
    <row r="670" spans="1:10" ht="20.25">
      <c r="A670" s="570"/>
      <c r="B670" s="580"/>
      <c r="C670" s="580"/>
      <c r="D670" s="580"/>
      <c r="E670" s="590"/>
      <c r="F670" s="582"/>
      <c r="G670" s="583"/>
      <c r="H670" s="583"/>
      <c r="I670" s="582"/>
      <c r="J670" s="583"/>
    </row>
    <row r="671" spans="1:10" ht="20.25">
      <c r="A671" s="570"/>
      <c r="B671" s="580"/>
      <c r="C671" s="580"/>
      <c r="D671" s="580"/>
      <c r="E671" s="590"/>
      <c r="F671" s="582"/>
      <c r="G671" s="583"/>
      <c r="H671" s="583"/>
      <c r="I671" s="582"/>
      <c r="J671" s="583"/>
    </row>
    <row r="672" spans="1:10" ht="20.25">
      <c r="A672" s="570"/>
      <c r="B672" s="580"/>
      <c r="C672" s="580"/>
      <c r="D672" s="580"/>
      <c r="E672" s="590"/>
      <c r="F672" s="582"/>
      <c r="G672" s="583"/>
      <c r="H672" s="583"/>
      <c r="I672" s="582"/>
      <c r="J672" s="583"/>
    </row>
    <row r="673" spans="1:10" ht="20.25">
      <c r="A673" s="570"/>
      <c r="B673" s="580"/>
      <c r="C673" s="580"/>
      <c r="D673" s="580"/>
      <c r="E673" s="590"/>
      <c r="F673" s="582"/>
      <c r="G673" s="583"/>
      <c r="H673" s="583"/>
      <c r="I673" s="582"/>
      <c r="J673" s="583"/>
    </row>
    <row r="674" spans="1:10" ht="20.25">
      <c r="A674" s="570"/>
      <c r="B674" s="580"/>
      <c r="C674" s="580"/>
      <c r="D674" s="580"/>
      <c r="E674" s="590"/>
      <c r="F674" s="582"/>
      <c r="G674" s="583"/>
      <c r="H674" s="583"/>
      <c r="I674" s="582"/>
      <c r="J674" s="583"/>
    </row>
    <row r="675" spans="1:10" ht="20.25">
      <c r="A675" s="570"/>
      <c r="B675" s="580"/>
      <c r="C675" s="580"/>
      <c r="D675" s="580"/>
      <c r="E675" s="590"/>
      <c r="F675" s="582"/>
      <c r="G675" s="583"/>
      <c r="H675" s="583"/>
      <c r="I675" s="582"/>
      <c r="J675" s="583"/>
    </row>
    <row r="676" spans="1:10" ht="20.25">
      <c r="A676" s="570"/>
      <c r="B676" s="580"/>
      <c r="C676" s="580"/>
      <c r="D676" s="580"/>
      <c r="E676" s="590"/>
      <c r="F676" s="582"/>
      <c r="G676" s="583"/>
      <c r="H676" s="583"/>
      <c r="I676" s="582"/>
      <c r="J676" s="583"/>
    </row>
    <row r="677" spans="1:10" ht="20.25">
      <c r="A677" s="570"/>
      <c r="B677" s="580"/>
      <c r="C677" s="580"/>
      <c r="D677" s="580"/>
      <c r="E677" s="590"/>
      <c r="F677" s="582"/>
      <c r="G677" s="583"/>
      <c r="H677" s="583"/>
      <c r="I677" s="582"/>
      <c r="J677" s="583"/>
    </row>
    <row r="678" spans="1:10" ht="20.25">
      <c r="A678" s="570"/>
      <c r="B678" s="580"/>
      <c r="C678" s="580"/>
      <c r="D678" s="580"/>
      <c r="E678" s="590"/>
      <c r="F678" s="582"/>
      <c r="G678" s="583"/>
      <c r="H678" s="583"/>
      <c r="I678" s="582"/>
      <c r="J678" s="583"/>
    </row>
    <row r="679" spans="1:10" ht="20.25">
      <c r="A679" s="570"/>
      <c r="B679" s="580"/>
      <c r="C679" s="580"/>
      <c r="D679" s="580"/>
      <c r="E679" s="590"/>
      <c r="F679" s="582"/>
      <c r="G679" s="583"/>
      <c r="H679" s="583"/>
      <c r="I679" s="582"/>
      <c r="J679" s="583"/>
    </row>
    <row r="680" spans="1:10" ht="20.25">
      <c r="A680" s="570"/>
      <c r="B680" s="580"/>
      <c r="C680" s="580"/>
      <c r="D680" s="580"/>
      <c r="E680" s="590"/>
      <c r="F680" s="582"/>
      <c r="G680" s="583"/>
      <c r="H680" s="583"/>
      <c r="I680" s="582"/>
      <c r="J680" s="583"/>
    </row>
    <row r="681" spans="1:10" ht="20.25">
      <c r="A681" s="570"/>
      <c r="B681" s="580"/>
      <c r="C681" s="580"/>
      <c r="D681" s="580"/>
      <c r="E681" s="590"/>
      <c r="F681" s="582"/>
      <c r="G681" s="583"/>
      <c r="H681" s="583"/>
      <c r="I681" s="582"/>
      <c r="J681" s="583"/>
    </row>
    <row r="682" spans="1:10" ht="20.25">
      <c r="A682" s="570"/>
      <c r="B682" s="580"/>
      <c r="C682" s="580"/>
      <c r="D682" s="580"/>
      <c r="E682" s="590"/>
      <c r="F682" s="582"/>
      <c r="G682" s="583"/>
      <c r="H682" s="583"/>
      <c r="I682" s="582"/>
      <c r="J682" s="583"/>
    </row>
    <row r="683" spans="1:10" ht="20.25">
      <c r="A683" s="570"/>
      <c r="B683" s="580"/>
      <c r="C683" s="580"/>
      <c r="D683" s="580"/>
      <c r="E683" s="590"/>
      <c r="F683" s="582"/>
      <c r="G683" s="583"/>
      <c r="H683" s="583"/>
      <c r="I683" s="582"/>
      <c r="J683" s="583"/>
    </row>
    <row r="684" spans="1:10" ht="20.25">
      <c r="A684" s="570"/>
      <c r="B684" s="580"/>
      <c r="C684" s="580"/>
      <c r="D684" s="580"/>
      <c r="E684" s="590"/>
      <c r="F684" s="582"/>
      <c r="G684" s="583"/>
      <c r="H684" s="583"/>
      <c r="I684" s="582"/>
      <c r="J684" s="583"/>
    </row>
    <row r="685" spans="1:10" ht="20.25">
      <c r="A685" s="570"/>
      <c r="B685" s="580"/>
      <c r="C685" s="580"/>
      <c r="D685" s="580"/>
      <c r="E685" s="590"/>
      <c r="F685" s="582"/>
      <c r="G685" s="583"/>
      <c r="H685" s="583"/>
      <c r="I685" s="582"/>
      <c r="J685" s="583"/>
    </row>
    <row r="686" spans="1:10" ht="20.25">
      <c r="A686" s="570"/>
      <c r="B686" s="580"/>
      <c r="C686" s="580"/>
      <c r="D686" s="580"/>
      <c r="E686" s="590"/>
      <c r="F686" s="582"/>
      <c r="G686" s="583"/>
      <c r="H686" s="583"/>
      <c r="I686" s="582"/>
      <c r="J686" s="583"/>
    </row>
    <row r="687" spans="1:10" ht="20.25">
      <c r="A687" s="570"/>
      <c r="B687" s="580"/>
      <c r="C687" s="580"/>
      <c r="D687" s="580"/>
      <c r="E687" s="590"/>
      <c r="F687" s="582"/>
      <c r="G687" s="583"/>
      <c r="H687" s="583"/>
      <c r="I687" s="582"/>
      <c r="J687" s="583"/>
    </row>
    <row r="688" spans="1:10" ht="20.25">
      <c r="A688" s="570"/>
      <c r="B688" s="580"/>
      <c r="C688" s="580"/>
      <c r="D688" s="580"/>
      <c r="E688" s="590"/>
      <c r="F688" s="582"/>
      <c r="G688" s="583"/>
      <c r="H688" s="583"/>
      <c r="I688" s="582"/>
      <c r="J688" s="583"/>
    </row>
    <row r="689" spans="1:10" ht="20.25">
      <c r="A689" s="570"/>
      <c r="B689" s="580"/>
      <c r="C689" s="580"/>
      <c r="D689" s="580"/>
      <c r="E689" s="590"/>
      <c r="F689" s="582"/>
      <c r="G689" s="583"/>
      <c r="H689" s="583"/>
      <c r="I689" s="582"/>
      <c r="J689" s="583"/>
    </row>
    <row r="690" spans="1:10" ht="20.25">
      <c r="A690" s="570"/>
      <c r="B690" s="580"/>
      <c r="C690" s="580"/>
      <c r="D690" s="580"/>
      <c r="E690" s="590"/>
      <c r="F690" s="582"/>
      <c r="G690" s="583"/>
      <c r="H690" s="583"/>
      <c r="I690" s="582"/>
      <c r="J690" s="583"/>
    </row>
    <row r="691" spans="1:10" ht="20.25">
      <c r="A691" s="570"/>
      <c r="B691" s="580"/>
      <c r="C691" s="580"/>
      <c r="D691" s="580"/>
      <c r="E691" s="590"/>
      <c r="F691" s="582"/>
      <c r="G691" s="583"/>
      <c r="H691" s="583"/>
      <c r="I691" s="582"/>
      <c r="J691" s="583"/>
    </row>
    <row r="692" spans="1:10" ht="20.25">
      <c r="A692" s="570"/>
      <c r="B692" s="580"/>
      <c r="C692" s="580"/>
      <c r="D692" s="580"/>
      <c r="E692" s="590"/>
      <c r="F692" s="582"/>
      <c r="G692" s="583"/>
      <c r="H692" s="583"/>
      <c r="I692" s="582"/>
      <c r="J692" s="583"/>
    </row>
    <row r="693" spans="1:10" ht="20.25">
      <c r="A693" s="570"/>
      <c r="B693" s="580"/>
      <c r="C693" s="580"/>
      <c r="D693" s="580"/>
      <c r="E693" s="590"/>
      <c r="F693" s="582"/>
      <c r="G693" s="583"/>
      <c r="H693" s="583"/>
      <c r="I693" s="582"/>
      <c r="J693" s="583"/>
    </row>
    <row r="694" spans="1:10" ht="20.25">
      <c r="A694" s="570"/>
      <c r="B694" s="580"/>
      <c r="C694" s="580"/>
      <c r="D694" s="580"/>
      <c r="E694" s="590"/>
      <c r="F694" s="582"/>
      <c r="G694" s="583"/>
      <c r="H694" s="583"/>
      <c r="I694" s="582"/>
      <c r="J694" s="583"/>
    </row>
    <row r="695" spans="1:10" ht="20.25">
      <c r="A695" s="570"/>
      <c r="B695" s="580"/>
      <c r="C695" s="580"/>
      <c r="D695" s="580"/>
      <c r="E695" s="590"/>
      <c r="F695" s="582"/>
      <c r="G695" s="583"/>
      <c r="H695" s="583"/>
      <c r="I695" s="582"/>
      <c r="J695" s="583"/>
    </row>
    <row r="696" spans="1:10" ht="20.25">
      <c r="A696" s="570"/>
      <c r="B696" s="580"/>
      <c r="C696" s="580"/>
      <c r="D696" s="580"/>
      <c r="E696" s="590"/>
      <c r="F696" s="582"/>
      <c r="G696" s="583"/>
      <c r="H696" s="583"/>
      <c r="I696" s="582"/>
      <c r="J696" s="583"/>
    </row>
    <row r="697" spans="1:10" ht="20.25">
      <c r="A697" s="570"/>
      <c r="B697" s="580"/>
      <c r="C697" s="580"/>
      <c r="D697" s="580"/>
      <c r="E697" s="590"/>
      <c r="F697" s="582"/>
      <c r="G697" s="583"/>
      <c r="H697" s="583"/>
      <c r="I697" s="582"/>
      <c r="J697" s="583"/>
    </row>
    <row r="698" spans="1:10" ht="20.25">
      <c r="A698" s="570"/>
      <c r="B698" s="580"/>
      <c r="C698" s="580"/>
      <c r="D698" s="580"/>
      <c r="E698" s="590"/>
      <c r="F698" s="582"/>
      <c r="G698" s="583"/>
      <c r="H698" s="583"/>
      <c r="I698" s="582"/>
      <c r="J698" s="583"/>
    </row>
    <row r="699" spans="1:10" ht="20.25">
      <c r="A699" s="570"/>
      <c r="B699" s="580"/>
      <c r="C699" s="580"/>
      <c r="D699" s="580"/>
      <c r="E699" s="590"/>
      <c r="F699" s="582"/>
      <c r="G699" s="583"/>
      <c r="H699" s="583"/>
      <c r="I699" s="582"/>
      <c r="J699" s="583"/>
    </row>
    <row r="700" spans="1:10" ht="20.25">
      <c r="A700" s="570"/>
      <c r="B700" s="580"/>
      <c r="C700" s="580"/>
      <c r="D700" s="580"/>
      <c r="E700" s="590"/>
      <c r="F700" s="582"/>
      <c r="G700" s="583"/>
      <c r="H700" s="583"/>
      <c r="I700" s="582"/>
      <c r="J700" s="583"/>
    </row>
    <row r="701" spans="1:10" ht="20.25">
      <c r="A701" s="570"/>
      <c r="B701" s="580"/>
      <c r="C701" s="580"/>
      <c r="D701" s="580"/>
      <c r="E701" s="590"/>
      <c r="F701" s="582"/>
      <c r="G701" s="583"/>
      <c r="H701" s="583"/>
      <c r="I701" s="582"/>
      <c r="J701" s="583"/>
    </row>
    <row r="702" spans="1:10" ht="20.25">
      <c r="A702" s="570"/>
      <c r="B702" s="580"/>
      <c r="C702" s="580"/>
      <c r="D702" s="580"/>
      <c r="E702" s="590"/>
      <c r="F702" s="582"/>
      <c r="G702" s="583"/>
      <c r="H702" s="583"/>
      <c r="I702" s="582"/>
      <c r="J702" s="583"/>
    </row>
    <row r="703" spans="1:10" ht="20.25">
      <c r="A703" s="570"/>
      <c r="B703" s="580"/>
      <c r="C703" s="580"/>
      <c r="D703" s="580"/>
      <c r="E703" s="590"/>
      <c r="F703" s="582"/>
      <c r="G703" s="583"/>
      <c r="H703" s="583"/>
      <c r="I703" s="582"/>
      <c r="J703" s="583"/>
    </row>
    <row r="704" spans="1:10" ht="20.25">
      <c r="A704" s="570"/>
      <c r="B704" s="580"/>
      <c r="C704" s="580"/>
      <c r="D704" s="580"/>
      <c r="E704" s="590"/>
      <c r="F704" s="582"/>
      <c r="G704" s="583"/>
      <c r="H704" s="583"/>
      <c r="I704" s="582"/>
      <c r="J704" s="583"/>
    </row>
    <row r="705" spans="1:10" ht="20.25">
      <c r="A705" s="570"/>
      <c r="B705" s="580"/>
      <c r="C705" s="580"/>
      <c r="D705" s="580"/>
      <c r="E705" s="590"/>
      <c r="F705" s="582"/>
      <c r="G705" s="583"/>
      <c r="H705" s="583"/>
      <c r="I705" s="582"/>
      <c r="J705" s="583"/>
    </row>
    <row r="706" spans="1:10" ht="20.25">
      <c r="A706" s="570"/>
      <c r="B706" s="580"/>
      <c r="C706" s="580"/>
      <c r="D706" s="580"/>
      <c r="E706" s="590"/>
      <c r="F706" s="582"/>
      <c r="G706" s="583"/>
      <c r="H706" s="583"/>
      <c r="I706" s="582"/>
      <c r="J706" s="583"/>
    </row>
    <row r="707" spans="1:10" ht="20.25">
      <c r="A707" s="570"/>
      <c r="B707" s="580"/>
      <c r="C707" s="580"/>
      <c r="D707" s="580"/>
      <c r="E707" s="590"/>
      <c r="F707" s="582"/>
      <c r="G707" s="583"/>
      <c r="H707" s="583"/>
      <c r="I707" s="582"/>
      <c r="J707" s="583"/>
    </row>
    <row r="708" spans="1:10" ht="20.25">
      <c r="A708" s="570"/>
      <c r="B708" s="580"/>
      <c r="C708" s="580"/>
      <c r="D708" s="580"/>
      <c r="E708" s="590"/>
      <c r="F708" s="582"/>
      <c r="G708" s="583"/>
      <c r="H708" s="583"/>
      <c r="I708" s="582"/>
      <c r="J708" s="583"/>
    </row>
    <row r="709" spans="1:10" ht="20.25">
      <c r="A709" s="570"/>
      <c r="B709" s="580"/>
      <c r="C709" s="580"/>
      <c r="D709" s="580"/>
      <c r="E709" s="590"/>
      <c r="F709" s="582"/>
      <c r="G709" s="583"/>
      <c r="H709" s="583"/>
      <c r="I709" s="582"/>
      <c r="J709" s="583"/>
    </row>
    <row r="710" spans="1:10" ht="20.25">
      <c r="A710" s="570"/>
      <c r="B710" s="580"/>
      <c r="C710" s="580"/>
      <c r="D710" s="580"/>
      <c r="E710" s="590"/>
      <c r="F710" s="582"/>
      <c r="G710" s="583"/>
      <c r="H710" s="583"/>
      <c r="I710" s="582"/>
      <c r="J710" s="583"/>
    </row>
    <row r="711" spans="1:10" ht="20.25">
      <c r="A711" s="570"/>
      <c r="B711" s="580"/>
      <c r="C711" s="580"/>
      <c r="D711" s="580"/>
      <c r="E711" s="590"/>
      <c r="F711" s="582"/>
      <c r="G711" s="583"/>
      <c r="H711" s="583"/>
      <c r="I711" s="582"/>
      <c r="J711" s="583"/>
    </row>
    <row r="712" spans="1:10" ht="20.25">
      <c r="A712" s="570"/>
      <c r="B712" s="580"/>
      <c r="C712" s="580"/>
      <c r="D712" s="580"/>
      <c r="E712" s="590"/>
      <c r="F712" s="582"/>
      <c r="G712" s="583"/>
      <c r="H712" s="583"/>
      <c r="I712" s="582"/>
      <c r="J712" s="583"/>
    </row>
    <row r="713" spans="1:10" ht="20.25">
      <c r="A713" s="570"/>
      <c r="B713" s="580"/>
      <c r="C713" s="580"/>
      <c r="D713" s="580"/>
      <c r="E713" s="590"/>
      <c r="F713" s="582"/>
      <c r="G713" s="583"/>
      <c r="H713" s="583"/>
      <c r="I713" s="582"/>
      <c r="J713" s="583"/>
    </row>
    <row r="714" spans="1:10" ht="20.25">
      <c r="A714" s="570"/>
      <c r="B714" s="580"/>
      <c r="C714" s="580"/>
      <c r="D714" s="580"/>
      <c r="E714" s="590"/>
      <c r="F714" s="582"/>
      <c r="G714" s="583"/>
      <c r="H714" s="583"/>
      <c r="I714" s="582"/>
      <c r="J714" s="583"/>
    </row>
    <row r="715" spans="1:10" ht="20.25">
      <c r="A715" s="570"/>
      <c r="B715" s="580"/>
      <c r="C715" s="580"/>
      <c r="D715" s="580"/>
      <c r="E715" s="590"/>
      <c r="F715" s="582"/>
      <c r="G715" s="583"/>
      <c r="H715" s="583"/>
      <c r="I715" s="582"/>
      <c r="J715" s="583"/>
    </row>
    <row r="716" spans="1:10" ht="20.25">
      <c r="A716" s="570"/>
      <c r="B716" s="580"/>
      <c r="C716" s="580"/>
      <c r="D716" s="580"/>
      <c r="E716" s="590"/>
      <c r="F716" s="582"/>
      <c r="G716" s="583"/>
      <c r="H716" s="583"/>
      <c r="I716" s="582"/>
      <c r="J716" s="583"/>
    </row>
    <row r="717" spans="1:10" ht="20.25">
      <c r="A717" s="570"/>
      <c r="B717" s="580"/>
      <c r="C717" s="580"/>
      <c r="D717" s="580"/>
      <c r="E717" s="590"/>
      <c r="F717" s="582"/>
      <c r="G717" s="583"/>
      <c r="H717" s="583"/>
      <c r="I717" s="582"/>
      <c r="J717" s="583"/>
    </row>
    <row r="718" spans="1:10" ht="20.25">
      <c r="A718" s="570"/>
      <c r="B718" s="580"/>
      <c r="C718" s="580"/>
      <c r="D718" s="580"/>
      <c r="E718" s="590"/>
      <c r="F718" s="582"/>
      <c r="G718" s="583"/>
      <c r="H718" s="583"/>
      <c r="I718" s="582"/>
      <c r="J718" s="583"/>
    </row>
    <row r="719" spans="1:10" ht="20.25">
      <c r="A719" s="570"/>
      <c r="B719" s="580"/>
      <c r="C719" s="580"/>
      <c r="D719" s="580"/>
      <c r="E719" s="590"/>
      <c r="F719" s="582"/>
      <c r="G719" s="583"/>
      <c r="H719" s="583"/>
      <c r="I719" s="582"/>
      <c r="J719" s="583"/>
    </row>
    <row r="720" spans="1:10" ht="20.25">
      <c r="A720" s="570"/>
      <c r="B720" s="580"/>
      <c r="C720" s="580"/>
      <c r="D720" s="580"/>
      <c r="E720" s="590"/>
      <c r="F720" s="582"/>
      <c r="G720" s="583"/>
      <c r="H720" s="583"/>
      <c r="I720" s="582"/>
      <c r="J720" s="583"/>
    </row>
    <row r="721" spans="1:10" ht="20.25">
      <c r="A721" s="570"/>
      <c r="B721" s="580"/>
      <c r="C721" s="580"/>
      <c r="D721" s="580"/>
      <c r="E721" s="590"/>
      <c r="F721" s="582"/>
      <c r="G721" s="583"/>
      <c r="H721" s="583"/>
      <c r="I721" s="582"/>
      <c r="J721" s="583"/>
    </row>
    <row r="722" spans="1:10" ht="20.25">
      <c r="A722" s="570"/>
      <c r="B722" s="580"/>
      <c r="C722" s="580"/>
      <c r="D722" s="580"/>
      <c r="E722" s="590"/>
      <c r="F722" s="582"/>
      <c r="G722" s="583"/>
      <c r="H722" s="583"/>
      <c r="I722" s="582"/>
      <c r="J722" s="583"/>
    </row>
    <row r="723" spans="1:10" ht="20.25">
      <c r="A723" s="570"/>
      <c r="B723" s="580"/>
      <c r="C723" s="580"/>
      <c r="D723" s="580"/>
      <c r="E723" s="590"/>
      <c r="F723" s="582"/>
      <c r="G723" s="583"/>
      <c r="H723" s="583"/>
      <c r="I723" s="582"/>
      <c r="J723" s="583"/>
    </row>
    <row r="724" spans="1:10" ht="20.25">
      <c r="A724" s="570"/>
      <c r="B724" s="580"/>
      <c r="C724" s="580"/>
      <c r="D724" s="580"/>
      <c r="E724" s="590"/>
      <c r="F724" s="582"/>
      <c r="G724" s="583"/>
      <c r="H724" s="583"/>
      <c r="I724" s="582"/>
      <c r="J724" s="583"/>
    </row>
    <row r="725" spans="1:10" ht="20.25">
      <c r="A725" s="570"/>
      <c r="B725" s="580"/>
      <c r="C725" s="580"/>
      <c r="D725" s="580"/>
      <c r="E725" s="590"/>
      <c r="F725" s="582"/>
      <c r="G725" s="583"/>
      <c r="H725" s="583"/>
      <c r="I725" s="582"/>
      <c r="J725" s="583"/>
    </row>
    <row r="726" spans="1:10" ht="20.25">
      <c r="A726" s="570"/>
      <c r="B726" s="580"/>
      <c r="C726" s="580"/>
      <c r="D726" s="580"/>
      <c r="E726" s="590"/>
      <c r="F726" s="582"/>
      <c r="G726" s="583"/>
      <c r="H726" s="583"/>
      <c r="I726" s="582"/>
      <c r="J726" s="583"/>
    </row>
    <row r="727" spans="1:10" ht="20.25">
      <c r="A727" s="570"/>
      <c r="B727" s="580"/>
      <c r="C727" s="580"/>
      <c r="D727" s="580"/>
      <c r="E727" s="590"/>
      <c r="F727" s="582"/>
      <c r="G727" s="583"/>
      <c r="H727" s="583"/>
      <c r="I727" s="582"/>
      <c r="J727" s="583"/>
    </row>
    <row r="728" spans="1:10" ht="20.25">
      <c r="A728" s="570"/>
      <c r="B728" s="580"/>
      <c r="C728" s="580"/>
      <c r="D728" s="580"/>
      <c r="E728" s="590"/>
      <c r="F728" s="582"/>
      <c r="G728" s="583"/>
      <c r="H728" s="583"/>
      <c r="I728" s="582"/>
      <c r="J728" s="583"/>
    </row>
    <row r="729" spans="1:10" ht="20.25">
      <c r="A729" s="570"/>
      <c r="B729" s="580"/>
      <c r="C729" s="580"/>
      <c r="D729" s="580"/>
      <c r="E729" s="590"/>
      <c r="F729" s="582"/>
      <c r="G729" s="583"/>
      <c r="H729" s="583"/>
      <c r="I729" s="582"/>
      <c r="J729" s="583"/>
    </row>
    <row r="730" spans="1:10" ht="20.25">
      <c r="A730" s="570"/>
      <c r="B730" s="580"/>
      <c r="C730" s="580"/>
      <c r="D730" s="580"/>
      <c r="E730" s="590"/>
      <c r="F730" s="582"/>
      <c r="G730" s="583"/>
      <c r="H730" s="583"/>
      <c r="I730" s="582"/>
      <c r="J730" s="583"/>
    </row>
    <row r="731" spans="1:10" ht="20.25">
      <c r="A731" s="570"/>
      <c r="B731" s="580"/>
      <c r="C731" s="580"/>
      <c r="D731" s="580"/>
      <c r="E731" s="590"/>
      <c r="F731" s="582"/>
      <c r="G731" s="583"/>
      <c r="H731" s="583"/>
      <c r="I731" s="582"/>
      <c r="J731" s="583"/>
    </row>
    <row r="732" spans="1:10" ht="20.25">
      <c r="A732" s="570"/>
      <c r="B732" s="580"/>
      <c r="C732" s="580"/>
      <c r="D732" s="580"/>
      <c r="E732" s="590"/>
      <c r="F732" s="582"/>
      <c r="G732" s="583"/>
      <c r="H732" s="583"/>
      <c r="I732" s="582"/>
      <c r="J732" s="583"/>
    </row>
    <row r="733" spans="1:10" ht="20.25">
      <c r="A733" s="570"/>
      <c r="B733" s="580"/>
      <c r="C733" s="580"/>
      <c r="D733" s="580"/>
      <c r="E733" s="590"/>
      <c r="F733" s="582"/>
      <c r="G733" s="583"/>
      <c r="H733" s="583"/>
      <c r="I733" s="582"/>
      <c r="J733" s="583"/>
    </row>
    <row r="734" spans="1:10" ht="20.25">
      <c r="A734" s="570"/>
      <c r="B734" s="580"/>
      <c r="C734" s="580"/>
      <c r="D734" s="580"/>
      <c r="E734" s="590"/>
      <c r="F734" s="582"/>
      <c r="G734" s="583"/>
      <c r="H734" s="583"/>
      <c r="I734" s="582"/>
      <c r="J734" s="583"/>
    </row>
    <row r="735" spans="1:10" ht="20.25">
      <c r="A735" s="570"/>
      <c r="B735" s="580"/>
      <c r="C735" s="580"/>
      <c r="D735" s="580"/>
      <c r="E735" s="590"/>
      <c r="F735" s="582"/>
      <c r="G735" s="583"/>
      <c r="H735" s="583"/>
      <c r="I735" s="582"/>
      <c r="J735" s="583"/>
    </row>
    <row r="736" spans="1:10" ht="20.25">
      <c r="A736" s="570"/>
      <c r="B736" s="580"/>
      <c r="C736" s="580"/>
      <c r="D736" s="580"/>
      <c r="E736" s="590"/>
      <c r="F736" s="582"/>
      <c r="G736" s="583"/>
      <c r="H736" s="583"/>
      <c r="I736" s="582"/>
      <c r="J736" s="583"/>
    </row>
    <row r="737" spans="1:10" ht="20.25">
      <c r="A737" s="570"/>
      <c r="B737" s="580"/>
      <c r="C737" s="580"/>
      <c r="D737" s="580"/>
      <c r="E737" s="590"/>
      <c r="F737" s="582"/>
      <c r="G737" s="583"/>
      <c r="H737" s="583"/>
      <c r="I737" s="582"/>
      <c r="J737" s="583"/>
    </row>
    <row r="738" spans="1:10" ht="20.25">
      <c r="A738" s="570"/>
      <c r="B738" s="580"/>
      <c r="C738" s="580"/>
      <c r="D738" s="580"/>
      <c r="E738" s="590"/>
      <c r="F738" s="582"/>
      <c r="G738" s="583"/>
      <c r="H738" s="583"/>
      <c r="I738" s="582"/>
      <c r="J738" s="583"/>
    </row>
    <row r="739" spans="1:10" ht="20.25">
      <c r="A739" s="570"/>
      <c r="B739" s="580"/>
      <c r="C739" s="580"/>
      <c r="D739" s="580"/>
      <c r="E739" s="590"/>
      <c r="F739" s="582"/>
      <c r="G739" s="583"/>
      <c r="H739" s="583"/>
      <c r="I739" s="582"/>
      <c r="J739" s="583"/>
    </row>
    <row r="740" spans="1:10" ht="20.25">
      <c r="A740" s="570"/>
      <c r="B740" s="580"/>
      <c r="C740" s="580"/>
      <c r="D740" s="580"/>
      <c r="E740" s="590"/>
      <c r="F740" s="582"/>
      <c r="G740" s="583"/>
      <c r="H740" s="583"/>
      <c r="I740" s="582"/>
      <c r="J740" s="583"/>
    </row>
    <row r="741" spans="1:10" ht="20.25">
      <c r="A741" s="570"/>
      <c r="B741" s="580"/>
      <c r="C741" s="580"/>
      <c r="D741" s="580"/>
      <c r="E741" s="590"/>
      <c r="F741" s="582"/>
      <c r="G741" s="583"/>
      <c r="H741" s="583"/>
      <c r="I741" s="582"/>
      <c r="J741" s="583"/>
    </row>
    <row r="742" spans="1:10" ht="20.25">
      <c r="A742" s="570"/>
      <c r="B742" s="580"/>
      <c r="C742" s="580"/>
      <c r="D742" s="580"/>
      <c r="E742" s="590"/>
      <c r="F742" s="582"/>
      <c r="G742" s="583"/>
      <c r="H742" s="583"/>
      <c r="I742" s="582"/>
      <c r="J742" s="583"/>
    </row>
    <row r="743" spans="1:10" ht="20.25">
      <c r="A743" s="570"/>
      <c r="B743" s="580"/>
      <c r="C743" s="580"/>
      <c r="D743" s="580"/>
      <c r="E743" s="590"/>
      <c r="F743" s="582"/>
      <c r="G743" s="583"/>
      <c r="H743" s="583"/>
      <c r="I743" s="582"/>
      <c r="J743" s="583"/>
    </row>
    <row r="744" spans="1:10" ht="20.25">
      <c r="A744" s="570"/>
      <c r="B744" s="580"/>
      <c r="C744" s="580"/>
      <c r="D744" s="580"/>
      <c r="E744" s="590"/>
      <c r="F744" s="582"/>
      <c r="G744" s="583"/>
      <c r="H744" s="583"/>
      <c r="I744" s="582"/>
      <c r="J744" s="583"/>
    </row>
    <row r="745" spans="1:10" ht="20.25">
      <c r="A745" s="570"/>
      <c r="B745" s="580"/>
      <c r="C745" s="580"/>
      <c r="D745" s="580"/>
      <c r="E745" s="590"/>
      <c r="F745" s="582"/>
      <c r="G745" s="583"/>
      <c r="H745" s="583"/>
      <c r="I745" s="582"/>
      <c r="J745" s="583"/>
    </row>
    <row r="746" spans="1:10" ht="20.25">
      <c r="A746" s="570"/>
      <c r="B746" s="580"/>
      <c r="C746" s="580"/>
      <c r="D746" s="580"/>
      <c r="E746" s="590"/>
      <c r="F746" s="582"/>
      <c r="G746" s="583"/>
      <c r="H746" s="583"/>
      <c r="I746" s="582"/>
      <c r="J746" s="583"/>
    </row>
    <row r="747" spans="1:10" ht="20.25">
      <c r="A747" s="570"/>
      <c r="B747" s="580"/>
      <c r="C747" s="580"/>
      <c r="D747" s="580"/>
      <c r="E747" s="590"/>
      <c r="F747" s="582"/>
      <c r="G747" s="583"/>
      <c r="H747" s="583"/>
      <c r="I747" s="582"/>
      <c r="J747" s="583"/>
    </row>
    <row r="748" spans="1:10" ht="20.25">
      <c r="A748" s="570"/>
      <c r="B748" s="580"/>
      <c r="C748" s="580"/>
      <c r="D748" s="580"/>
      <c r="E748" s="590"/>
      <c r="F748" s="582"/>
      <c r="G748" s="583"/>
      <c r="H748" s="583"/>
      <c r="I748" s="582"/>
      <c r="J748" s="583"/>
    </row>
    <row r="749" spans="1:10" ht="20.25">
      <c r="A749" s="570"/>
      <c r="B749" s="580"/>
      <c r="C749" s="580"/>
      <c r="D749" s="580"/>
      <c r="E749" s="590"/>
      <c r="F749" s="582"/>
      <c r="G749" s="583"/>
      <c r="H749" s="583"/>
      <c r="I749" s="582"/>
      <c r="J749" s="583"/>
    </row>
    <row r="750" spans="1:10" ht="20.25">
      <c r="A750" s="570"/>
      <c r="B750" s="580"/>
      <c r="C750" s="580"/>
      <c r="D750" s="580"/>
      <c r="E750" s="590"/>
      <c r="F750" s="582"/>
      <c r="G750" s="583"/>
      <c r="H750" s="583"/>
      <c r="I750" s="582"/>
      <c r="J750" s="583"/>
    </row>
    <row r="751" spans="1:10" ht="20.25">
      <c r="A751" s="570"/>
      <c r="B751" s="580"/>
      <c r="C751" s="580"/>
      <c r="D751" s="580"/>
      <c r="E751" s="590"/>
      <c r="F751" s="582"/>
      <c r="G751" s="583"/>
      <c r="H751" s="583"/>
      <c r="I751" s="582"/>
      <c r="J751" s="583"/>
    </row>
    <row r="752" spans="1:10" ht="20.25">
      <c r="A752" s="570"/>
      <c r="B752" s="580"/>
      <c r="C752" s="580"/>
      <c r="D752" s="580"/>
      <c r="E752" s="590"/>
      <c r="F752" s="582"/>
      <c r="G752" s="583"/>
      <c r="H752" s="583"/>
      <c r="I752" s="582"/>
      <c r="J752" s="583"/>
    </row>
    <row r="753" spans="1:10" ht="20.25">
      <c r="A753" s="570"/>
      <c r="B753" s="580"/>
      <c r="C753" s="580"/>
      <c r="D753" s="580"/>
      <c r="E753" s="590"/>
      <c r="F753" s="582"/>
      <c r="G753" s="583"/>
      <c r="H753" s="583"/>
      <c r="I753" s="582"/>
      <c r="J753" s="583"/>
    </row>
    <row r="754" spans="1:10" ht="20.25">
      <c r="A754" s="570"/>
      <c r="B754" s="580"/>
      <c r="C754" s="580"/>
      <c r="D754" s="580"/>
      <c r="E754" s="590"/>
      <c r="F754" s="582"/>
      <c r="G754" s="583"/>
      <c r="H754" s="583"/>
      <c r="I754" s="582"/>
      <c r="J754" s="583"/>
    </row>
    <row r="755" spans="1:10" ht="20.25">
      <c r="A755" s="570"/>
      <c r="B755" s="580"/>
      <c r="C755" s="580"/>
      <c r="D755" s="580"/>
      <c r="E755" s="590"/>
      <c r="F755" s="582"/>
      <c r="G755" s="583"/>
      <c r="H755" s="583"/>
      <c r="I755" s="582"/>
      <c r="J755" s="583"/>
    </row>
    <row r="756" spans="1:10" ht="20.25">
      <c r="A756" s="570"/>
      <c r="B756" s="580"/>
      <c r="C756" s="580"/>
      <c r="D756" s="580"/>
      <c r="E756" s="590"/>
      <c r="F756" s="582"/>
      <c r="G756" s="583"/>
      <c r="H756" s="583"/>
      <c r="I756" s="582"/>
      <c r="J756" s="583"/>
    </row>
    <row r="757" spans="1:10" ht="20.25">
      <c r="A757" s="570"/>
      <c r="B757" s="580"/>
      <c r="C757" s="580"/>
      <c r="D757" s="580"/>
      <c r="E757" s="590"/>
      <c r="F757" s="582"/>
      <c r="G757" s="583"/>
      <c r="H757" s="583"/>
      <c r="I757" s="582"/>
      <c r="J757" s="583"/>
    </row>
    <row r="758" spans="1:10" ht="20.25">
      <c r="A758" s="570"/>
      <c r="B758" s="580"/>
      <c r="C758" s="580"/>
      <c r="D758" s="580"/>
      <c r="E758" s="590"/>
      <c r="F758" s="582"/>
      <c r="G758" s="583"/>
      <c r="H758" s="583"/>
      <c r="I758" s="582"/>
      <c r="J758" s="583"/>
    </row>
    <row r="759" spans="1:10" ht="20.25">
      <c r="A759" s="570"/>
      <c r="B759" s="580"/>
      <c r="C759" s="580"/>
      <c r="D759" s="580"/>
      <c r="E759" s="590"/>
      <c r="F759" s="582"/>
      <c r="G759" s="583"/>
      <c r="H759" s="583"/>
      <c r="I759" s="582"/>
      <c r="J759" s="583"/>
    </row>
    <row r="760" spans="1:10" ht="20.25">
      <c r="A760" s="570"/>
      <c r="B760" s="580"/>
      <c r="C760" s="580"/>
      <c r="D760" s="580"/>
      <c r="E760" s="590"/>
      <c r="F760" s="582"/>
      <c r="G760" s="583"/>
      <c r="H760" s="583"/>
      <c r="I760" s="582"/>
      <c r="J760" s="583"/>
    </row>
    <row r="761" spans="1:10" ht="20.25">
      <c r="A761" s="570"/>
      <c r="B761" s="580"/>
      <c r="C761" s="580"/>
      <c r="D761" s="580"/>
      <c r="E761" s="590"/>
      <c r="F761" s="582"/>
      <c r="G761" s="583"/>
      <c r="H761" s="583"/>
      <c r="I761" s="582"/>
      <c r="J761" s="583"/>
    </row>
    <row r="762" spans="1:10" ht="20.25">
      <c r="A762" s="570"/>
      <c r="B762" s="580"/>
      <c r="C762" s="580"/>
      <c r="D762" s="580"/>
      <c r="E762" s="590"/>
      <c r="F762" s="582"/>
      <c r="G762" s="583"/>
      <c r="H762" s="583"/>
      <c r="I762" s="582"/>
      <c r="J762" s="583"/>
    </row>
    <row r="763" spans="1:10" ht="20.25">
      <c r="A763" s="570"/>
      <c r="B763" s="580"/>
      <c r="C763" s="580"/>
      <c r="D763" s="580"/>
      <c r="E763" s="590"/>
      <c r="F763" s="582"/>
      <c r="G763" s="583"/>
      <c r="H763" s="583"/>
      <c r="I763" s="582"/>
      <c r="J763" s="583"/>
    </row>
    <row r="764" spans="1:10" ht="20.25">
      <c r="A764" s="570"/>
      <c r="B764" s="580"/>
      <c r="C764" s="580"/>
      <c r="D764" s="580"/>
      <c r="E764" s="590"/>
      <c r="F764" s="582"/>
      <c r="G764" s="583"/>
      <c r="H764" s="583"/>
      <c r="I764" s="582"/>
      <c r="J764" s="583"/>
    </row>
    <row r="765" spans="1:10" ht="20.25">
      <c r="A765" s="570"/>
      <c r="B765" s="580"/>
      <c r="C765" s="580"/>
      <c r="D765" s="580"/>
      <c r="E765" s="590"/>
      <c r="F765" s="582"/>
      <c r="G765" s="583"/>
      <c r="H765" s="583"/>
      <c r="I765" s="582"/>
      <c r="J765" s="583"/>
    </row>
    <row r="766" spans="1:10" ht="20.25">
      <c r="A766" s="570"/>
      <c r="B766" s="580"/>
      <c r="C766" s="580"/>
      <c r="D766" s="580"/>
      <c r="E766" s="590"/>
      <c r="F766" s="582"/>
      <c r="G766" s="583"/>
      <c r="H766" s="583"/>
      <c r="I766" s="582"/>
      <c r="J766" s="583"/>
    </row>
    <row r="767" spans="1:10" ht="20.25">
      <c r="A767" s="570"/>
      <c r="B767" s="580"/>
      <c r="C767" s="580"/>
      <c r="D767" s="580"/>
      <c r="E767" s="590"/>
      <c r="F767" s="582"/>
      <c r="G767" s="583"/>
      <c r="H767" s="583"/>
      <c r="I767" s="582"/>
      <c r="J767" s="583"/>
    </row>
    <row r="768" spans="1:10" ht="20.25">
      <c r="A768" s="570"/>
      <c r="B768" s="580"/>
      <c r="C768" s="580"/>
      <c r="D768" s="580"/>
      <c r="E768" s="590"/>
      <c r="F768" s="582"/>
      <c r="G768" s="583"/>
      <c r="H768" s="583"/>
      <c r="I768" s="582"/>
      <c r="J768" s="583"/>
    </row>
    <row r="769" spans="1:10" ht="20.25">
      <c r="A769" s="570"/>
      <c r="B769" s="580"/>
      <c r="C769" s="580"/>
      <c r="D769" s="580"/>
      <c r="E769" s="590"/>
      <c r="F769" s="582"/>
      <c r="G769" s="583"/>
      <c r="H769" s="583"/>
      <c r="I769" s="582"/>
      <c r="J769" s="583"/>
    </row>
    <row r="770" spans="1:10" ht="20.25">
      <c r="A770" s="570"/>
      <c r="B770" s="580"/>
      <c r="C770" s="580"/>
      <c r="D770" s="580"/>
      <c r="E770" s="590"/>
      <c r="F770" s="582"/>
      <c r="G770" s="583"/>
      <c r="H770" s="583"/>
      <c r="I770" s="582"/>
      <c r="J770" s="583"/>
    </row>
    <row r="771" spans="1:10" ht="20.25">
      <c r="A771" s="570"/>
      <c r="B771" s="580"/>
      <c r="C771" s="580"/>
      <c r="D771" s="580"/>
      <c r="E771" s="590"/>
      <c r="F771" s="582"/>
      <c r="G771" s="583"/>
      <c r="H771" s="583"/>
      <c r="I771" s="582"/>
      <c r="J771" s="583"/>
    </row>
    <row r="772" spans="1:10" ht="20.25">
      <c r="A772" s="570"/>
      <c r="B772" s="580"/>
      <c r="C772" s="580"/>
      <c r="D772" s="580"/>
      <c r="E772" s="590"/>
      <c r="F772" s="582"/>
      <c r="G772" s="583"/>
      <c r="H772" s="583"/>
      <c r="I772" s="582"/>
      <c r="J772" s="583"/>
    </row>
    <row r="773" spans="1:10" ht="20.25">
      <c r="A773" s="570"/>
      <c r="B773" s="580"/>
      <c r="C773" s="580"/>
      <c r="D773" s="580"/>
      <c r="E773" s="590"/>
      <c r="F773" s="582"/>
      <c r="G773" s="583"/>
      <c r="H773" s="583"/>
      <c r="I773" s="582"/>
      <c r="J773" s="583"/>
    </row>
    <row r="774" spans="1:10" ht="20.25">
      <c r="A774" s="570"/>
      <c r="B774" s="580"/>
      <c r="C774" s="580"/>
      <c r="D774" s="580"/>
      <c r="E774" s="590"/>
      <c r="F774" s="582"/>
      <c r="G774" s="583"/>
      <c r="H774" s="583"/>
      <c r="I774" s="582"/>
      <c r="J774" s="583"/>
    </row>
    <row r="775" spans="1:10" ht="20.25">
      <c r="A775" s="570"/>
      <c r="B775" s="580"/>
      <c r="C775" s="580"/>
      <c r="D775" s="580"/>
      <c r="E775" s="590"/>
      <c r="F775" s="582"/>
      <c r="G775" s="583"/>
      <c r="H775" s="583"/>
      <c r="I775" s="582"/>
      <c r="J775" s="583"/>
    </row>
    <row r="776" spans="1:10" ht="20.25">
      <c r="A776" s="570"/>
      <c r="B776" s="580"/>
      <c r="C776" s="580"/>
      <c r="D776" s="580"/>
      <c r="E776" s="590"/>
      <c r="F776" s="582"/>
      <c r="G776" s="583"/>
      <c r="H776" s="583"/>
      <c r="I776" s="582"/>
      <c r="J776" s="583"/>
    </row>
    <row r="777" spans="1:10" ht="20.25">
      <c r="A777" s="570"/>
      <c r="B777" s="580"/>
      <c r="C777" s="580"/>
      <c r="D777" s="580"/>
      <c r="E777" s="590"/>
      <c r="F777" s="582"/>
      <c r="G777" s="583"/>
      <c r="H777" s="583"/>
      <c r="I777" s="582"/>
      <c r="J777" s="583"/>
    </row>
    <row r="778" spans="1:10" ht="20.25">
      <c r="A778" s="570"/>
      <c r="B778" s="580"/>
      <c r="C778" s="580"/>
      <c r="D778" s="580"/>
      <c r="E778" s="590"/>
      <c r="F778" s="582"/>
      <c r="G778" s="583"/>
      <c r="H778" s="583"/>
      <c r="I778" s="582"/>
      <c r="J778" s="583"/>
    </row>
    <row r="779" spans="1:10" ht="20.25">
      <c r="A779" s="570"/>
      <c r="B779" s="580"/>
      <c r="C779" s="580"/>
      <c r="D779" s="580"/>
      <c r="E779" s="590"/>
      <c r="F779" s="582"/>
      <c r="G779" s="583"/>
      <c r="H779" s="583"/>
      <c r="I779" s="582"/>
      <c r="J779" s="583"/>
    </row>
    <row r="780" spans="1:10" ht="20.25">
      <c r="A780" s="570"/>
      <c r="B780" s="580"/>
      <c r="C780" s="580"/>
      <c r="D780" s="580"/>
      <c r="E780" s="590"/>
      <c r="F780" s="582"/>
      <c r="G780" s="583"/>
      <c r="H780" s="583"/>
      <c r="I780" s="582"/>
      <c r="J780" s="583"/>
    </row>
    <row r="781" spans="1:10" ht="20.25">
      <c r="A781" s="570"/>
      <c r="B781" s="580"/>
      <c r="C781" s="580"/>
      <c r="D781" s="580"/>
      <c r="E781" s="590"/>
      <c r="F781" s="582"/>
      <c r="G781" s="583"/>
      <c r="H781" s="583"/>
      <c r="I781" s="582"/>
      <c r="J781" s="583"/>
    </row>
    <row r="782" spans="1:10" ht="20.25">
      <c r="A782" s="570"/>
      <c r="B782" s="580"/>
      <c r="C782" s="580"/>
      <c r="D782" s="580"/>
      <c r="E782" s="590"/>
      <c r="F782" s="582"/>
      <c r="G782" s="583"/>
      <c r="H782" s="583"/>
      <c r="I782" s="582"/>
      <c r="J782" s="583"/>
    </row>
    <row r="783" spans="1:10" ht="20.25">
      <c r="A783" s="570"/>
      <c r="B783" s="580"/>
      <c r="C783" s="580"/>
      <c r="D783" s="580"/>
      <c r="E783" s="590"/>
      <c r="F783" s="582"/>
      <c r="G783" s="583"/>
      <c r="H783" s="583"/>
      <c r="I783" s="582"/>
      <c r="J783" s="583"/>
    </row>
    <row r="784" spans="1:10" ht="20.25">
      <c r="A784" s="570"/>
      <c r="B784" s="580"/>
      <c r="C784" s="580"/>
      <c r="D784" s="580"/>
      <c r="E784" s="590"/>
      <c r="F784" s="582"/>
      <c r="G784" s="583"/>
      <c r="H784" s="583"/>
      <c r="I784" s="582"/>
      <c r="J784" s="583"/>
    </row>
    <row r="785" spans="1:10" ht="20.25">
      <c r="A785" s="570"/>
      <c r="B785" s="580"/>
      <c r="C785" s="580"/>
      <c r="D785" s="580"/>
      <c r="E785" s="590"/>
      <c r="F785" s="582"/>
      <c r="G785" s="583"/>
      <c r="H785" s="583"/>
      <c r="I785" s="582"/>
      <c r="J785" s="583"/>
    </row>
    <row r="786" spans="1:10" ht="20.25">
      <c r="A786" s="570"/>
      <c r="B786" s="580"/>
      <c r="C786" s="580"/>
      <c r="D786" s="580"/>
      <c r="E786" s="590"/>
      <c r="F786" s="582"/>
      <c r="G786" s="583"/>
      <c r="H786" s="583"/>
      <c r="I786" s="582"/>
      <c r="J786" s="583"/>
    </row>
    <row r="787" spans="1:10" ht="20.25">
      <c r="A787" s="570"/>
      <c r="B787" s="580"/>
      <c r="C787" s="580"/>
      <c r="D787" s="580"/>
      <c r="E787" s="590"/>
      <c r="F787" s="582"/>
      <c r="G787" s="583"/>
      <c r="H787" s="583"/>
      <c r="I787" s="582"/>
      <c r="J787" s="583"/>
    </row>
    <row r="788" spans="1:10" ht="20.25">
      <c r="A788" s="570"/>
      <c r="B788" s="580"/>
      <c r="C788" s="580"/>
      <c r="D788" s="580"/>
      <c r="E788" s="590"/>
      <c r="F788" s="582"/>
      <c r="G788" s="583"/>
      <c r="H788" s="583"/>
      <c r="I788" s="582"/>
      <c r="J788" s="583"/>
    </row>
    <row r="789" spans="1:10" ht="20.25">
      <c r="A789" s="570"/>
      <c r="B789" s="580"/>
      <c r="C789" s="580"/>
      <c r="D789" s="580"/>
      <c r="E789" s="590"/>
      <c r="F789" s="582"/>
      <c r="G789" s="583"/>
      <c r="H789" s="583"/>
      <c r="I789" s="582"/>
      <c r="J789" s="583"/>
    </row>
    <row r="790" spans="1:10" ht="20.25">
      <c r="A790" s="570"/>
      <c r="B790" s="580"/>
      <c r="C790" s="580"/>
      <c r="D790" s="580"/>
      <c r="E790" s="590"/>
      <c r="F790" s="582"/>
      <c r="G790" s="583"/>
      <c r="H790" s="583"/>
      <c r="I790" s="582"/>
      <c r="J790" s="583"/>
    </row>
    <row r="791" spans="1:10" ht="20.25">
      <c r="A791" s="570"/>
      <c r="B791" s="580"/>
      <c r="C791" s="580"/>
      <c r="D791" s="580"/>
      <c r="E791" s="590"/>
      <c r="F791" s="582"/>
      <c r="G791" s="583"/>
      <c r="H791" s="583"/>
      <c r="I791" s="582"/>
      <c r="J791" s="583"/>
    </row>
    <row r="792" spans="1:10" ht="20.25">
      <c r="A792" s="570"/>
      <c r="B792" s="580"/>
      <c r="C792" s="580"/>
      <c r="D792" s="580"/>
      <c r="E792" s="590"/>
      <c r="F792" s="582"/>
      <c r="G792" s="583"/>
      <c r="H792" s="583"/>
      <c r="I792" s="582"/>
      <c r="J792" s="583"/>
    </row>
    <row r="793" spans="1:10" ht="20.25">
      <c r="A793" s="570"/>
      <c r="B793" s="580"/>
      <c r="C793" s="580"/>
      <c r="D793" s="580"/>
      <c r="E793" s="590"/>
      <c r="F793" s="582"/>
      <c r="G793" s="583"/>
      <c r="H793" s="583"/>
      <c r="I793" s="582"/>
      <c r="J793" s="583"/>
    </row>
    <row r="794" spans="1:10" ht="20.25">
      <c r="A794" s="570"/>
      <c r="B794" s="580"/>
      <c r="C794" s="580"/>
      <c r="D794" s="580"/>
      <c r="E794" s="590"/>
      <c r="F794" s="582"/>
      <c r="G794" s="583"/>
      <c r="H794" s="583"/>
      <c r="I794" s="582"/>
      <c r="J794" s="583"/>
    </row>
    <row r="795" spans="1:10" ht="20.25">
      <c r="A795" s="570"/>
      <c r="B795" s="580"/>
      <c r="C795" s="580"/>
      <c r="D795" s="580"/>
      <c r="E795" s="590"/>
      <c r="F795" s="582"/>
      <c r="G795" s="583"/>
      <c r="H795" s="583"/>
      <c r="I795" s="582"/>
      <c r="J795" s="583"/>
    </row>
    <row r="796" spans="1:10" ht="20.25">
      <c r="A796" s="570"/>
      <c r="B796" s="580"/>
      <c r="C796" s="580"/>
      <c r="D796" s="580"/>
      <c r="E796" s="590"/>
      <c r="F796" s="582"/>
      <c r="G796" s="583"/>
      <c r="H796" s="583"/>
      <c r="I796" s="582"/>
      <c r="J796" s="583"/>
    </row>
    <row r="797" spans="1:10" ht="20.25">
      <c r="A797" s="570"/>
      <c r="B797" s="580"/>
      <c r="C797" s="580"/>
      <c r="D797" s="580"/>
      <c r="E797" s="590"/>
      <c r="F797" s="582"/>
      <c r="G797" s="583"/>
      <c r="H797" s="583"/>
      <c r="I797" s="582"/>
      <c r="J797" s="583"/>
    </row>
    <row r="798" spans="1:10" ht="20.25">
      <c r="A798" s="570"/>
      <c r="B798" s="580"/>
      <c r="C798" s="580"/>
      <c r="D798" s="580"/>
      <c r="E798" s="590"/>
      <c r="F798" s="582"/>
      <c r="G798" s="583"/>
      <c r="H798" s="583"/>
      <c r="I798" s="582"/>
      <c r="J798" s="583"/>
    </row>
    <row r="799" spans="1:10" ht="20.25">
      <c r="A799" s="570"/>
      <c r="B799" s="580"/>
      <c r="C799" s="580"/>
      <c r="D799" s="580"/>
      <c r="E799" s="590"/>
      <c r="F799" s="582"/>
      <c r="G799" s="583"/>
      <c r="H799" s="583"/>
      <c r="I799" s="582"/>
      <c r="J799" s="583"/>
    </row>
    <row r="800" spans="1:10" ht="20.25">
      <c r="A800" s="570"/>
      <c r="B800" s="580"/>
      <c r="C800" s="580"/>
      <c r="D800" s="580"/>
      <c r="E800" s="590"/>
      <c r="F800" s="582"/>
      <c r="G800" s="583"/>
      <c r="H800" s="583"/>
      <c r="I800" s="582"/>
      <c r="J800" s="583"/>
    </row>
    <row r="801" spans="1:10" ht="20.25">
      <c r="A801" s="570"/>
      <c r="B801" s="580"/>
      <c r="C801" s="580"/>
      <c r="D801" s="580"/>
      <c r="E801" s="590"/>
      <c r="F801" s="582"/>
      <c r="G801" s="583"/>
      <c r="H801" s="583"/>
      <c r="I801" s="582"/>
      <c r="J801" s="583"/>
    </row>
    <row r="802" spans="1:10" ht="20.25">
      <c r="A802" s="570"/>
      <c r="B802" s="580"/>
      <c r="C802" s="580"/>
      <c r="D802" s="580"/>
      <c r="E802" s="590"/>
      <c r="F802" s="582"/>
      <c r="G802" s="583"/>
      <c r="H802" s="583"/>
      <c r="I802" s="582"/>
      <c r="J802" s="583"/>
    </row>
    <row r="803" spans="1:10" ht="20.25">
      <c r="A803" s="570"/>
      <c r="B803" s="580"/>
      <c r="C803" s="580"/>
      <c r="D803" s="580"/>
      <c r="E803" s="590"/>
      <c r="F803" s="582"/>
      <c r="G803" s="583"/>
      <c r="H803" s="583"/>
      <c r="I803" s="582"/>
      <c r="J803" s="583"/>
    </row>
    <row r="804" spans="1:10" ht="20.25">
      <c r="A804" s="570"/>
      <c r="B804" s="580"/>
      <c r="C804" s="580"/>
      <c r="D804" s="580"/>
      <c r="E804" s="590"/>
      <c r="F804" s="582"/>
      <c r="G804" s="583"/>
      <c r="H804" s="583"/>
      <c r="I804" s="582"/>
      <c r="J804" s="583"/>
    </row>
    <row r="805" spans="1:10" ht="20.25">
      <c r="A805" s="570"/>
      <c r="B805" s="580"/>
      <c r="C805" s="580"/>
      <c r="D805" s="580"/>
      <c r="E805" s="590"/>
      <c r="F805" s="582"/>
      <c r="G805" s="583"/>
      <c r="H805" s="583"/>
      <c r="I805" s="582"/>
      <c r="J805" s="583"/>
    </row>
    <row r="806" spans="1:10" ht="20.25">
      <c r="A806" s="570"/>
      <c r="B806" s="580"/>
      <c r="C806" s="580"/>
      <c r="D806" s="580"/>
      <c r="E806" s="590"/>
      <c r="F806" s="582"/>
      <c r="G806" s="583"/>
      <c r="H806" s="583"/>
      <c r="I806" s="582"/>
      <c r="J806" s="583"/>
    </row>
    <row r="807" spans="1:10" ht="20.25">
      <c r="A807" s="570"/>
      <c r="B807" s="580"/>
      <c r="C807" s="580"/>
      <c r="D807" s="580"/>
      <c r="E807" s="590"/>
      <c r="F807" s="582"/>
      <c r="G807" s="583"/>
      <c r="H807" s="583"/>
      <c r="I807" s="582"/>
      <c r="J807" s="583"/>
    </row>
    <row r="808" spans="1:10" ht="20.25">
      <c r="A808" s="570"/>
      <c r="B808" s="580"/>
      <c r="C808" s="580"/>
      <c r="D808" s="580"/>
      <c r="E808" s="590"/>
      <c r="F808" s="582"/>
      <c r="G808" s="583"/>
      <c r="H808" s="583"/>
      <c r="I808" s="582"/>
      <c r="J808" s="583"/>
    </row>
    <row r="809" spans="1:10" ht="20.25">
      <c r="A809" s="570"/>
      <c r="B809" s="580"/>
      <c r="C809" s="580"/>
      <c r="D809" s="580"/>
      <c r="E809" s="590"/>
      <c r="F809" s="582"/>
      <c r="G809" s="583"/>
      <c r="H809" s="583"/>
      <c r="I809" s="582"/>
      <c r="J809" s="583"/>
    </row>
    <row r="810" spans="1:10" ht="20.25">
      <c r="A810" s="570"/>
      <c r="B810" s="580"/>
      <c r="C810" s="580"/>
      <c r="D810" s="580"/>
      <c r="E810" s="590"/>
      <c r="F810" s="582"/>
      <c r="G810" s="583"/>
      <c r="H810" s="583"/>
      <c r="I810" s="582"/>
      <c r="J810" s="583"/>
    </row>
    <row r="811" spans="1:10" ht="20.25">
      <c r="A811" s="570"/>
      <c r="B811" s="580"/>
      <c r="C811" s="580"/>
      <c r="D811" s="580"/>
      <c r="E811" s="590"/>
      <c r="F811" s="582"/>
      <c r="G811" s="583"/>
      <c r="H811" s="583"/>
      <c r="I811" s="582"/>
      <c r="J811" s="583"/>
    </row>
    <row r="812" spans="1:10" ht="20.25">
      <c r="A812" s="570"/>
      <c r="B812" s="580"/>
      <c r="C812" s="580"/>
      <c r="D812" s="580"/>
      <c r="E812" s="590"/>
      <c r="F812" s="582"/>
      <c r="G812" s="583"/>
      <c r="H812" s="583"/>
      <c r="I812" s="582"/>
      <c r="J812" s="583"/>
    </row>
    <row r="813" spans="1:10" ht="20.25">
      <c r="A813" s="570"/>
      <c r="B813" s="580"/>
      <c r="C813" s="580"/>
      <c r="D813" s="580"/>
      <c r="E813" s="590"/>
      <c r="F813" s="582"/>
      <c r="G813" s="583"/>
      <c r="H813" s="583"/>
      <c r="I813" s="582"/>
      <c r="J813" s="583"/>
    </row>
    <row r="814" spans="1:10" ht="20.25">
      <c r="A814" s="570"/>
      <c r="B814" s="580"/>
      <c r="C814" s="580"/>
      <c r="D814" s="580"/>
      <c r="E814" s="590"/>
      <c r="F814" s="582"/>
      <c r="G814" s="583"/>
      <c r="H814" s="583"/>
      <c r="I814" s="582"/>
      <c r="J814" s="583"/>
    </row>
    <row r="815" spans="1:10" ht="20.25">
      <c r="A815" s="570"/>
      <c r="B815" s="580"/>
      <c r="C815" s="580"/>
      <c r="D815" s="580"/>
      <c r="E815" s="590"/>
      <c r="F815" s="582"/>
      <c r="G815" s="583"/>
      <c r="H815" s="583"/>
      <c r="I815" s="582"/>
      <c r="J815" s="583"/>
    </row>
    <row r="816" spans="1:10" ht="20.25">
      <c r="A816" s="570"/>
      <c r="B816" s="580"/>
      <c r="C816" s="580"/>
      <c r="D816" s="580"/>
      <c r="E816" s="590"/>
      <c r="F816" s="582"/>
      <c r="G816" s="583"/>
      <c r="H816" s="583"/>
      <c r="I816" s="582"/>
      <c r="J816" s="583"/>
    </row>
    <row r="817" spans="1:10" ht="20.25">
      <c r="A817" s="570"/>
      <c r="B817" s="580"/>
      <c r="C817" s="580"/>
      <c r="D817" s="580"/>
      <c r="E817" s="590"/>
      <c r="F817" s="582"/>
      <c r="G817" s="583"/>
      <c r="H817" s="583"/>
      <c r="I817" s="582"/>
      <c r="J817" s="583"/>
    </row>
    <row r="818" spans="1:10" ht="20.25">
      <c r="A818" s="570"/>
      <c r="B818" s="580"/>
      <c r="C818" s="580"/>
      <c r="D818" s="580"/>
      <c r="E818" s="590"/>
      <c r="F818" s="582"/>
      <c r="G818" s="583"/>
      <c r="H818" s="583"/>
      <c r="I818" s="582"/>
      <c r="J818" s="583"/>
    </row>
    <row r="819" spans="1:6" ht="20.25">
      <c r="A819" s="570"/>
      <c r="B819" s="568"/>
      <c r="C819" s="580"/>
      <c r="D819" s="568"/>
      <c r="E819" s="571"/>
      <c r="F819" s="569"/>
    </row>
    <row r="820" spans="1:6" ht="20.25">
      <c r="A820" s="570"/>
      <c r="B820" s="568"/>
      <c r="C820" s="568"/>
      <c r="D820" s="568"/>
      <c r="E820" s="571"/>
      <c r="F820" s="569"/>
    </row>
    <row r="821" spans="1:6" ht="20.25">
      <c r="A821" s="570"/>
      <c r="B821" s="568"/>
      <c r="C821" s="568"/>
      <c r="D821" s="568"/>
      <c r="E821" s="571"/>
      <c r="F821" s="569"/>
    </row>
    <row r="822" spans="1:6" ht="20.25">
      <c r="A822" s="570"/>
      <c r="B822" s="568"/>
      <c r="C822" s="568"/>
      <c r="D822" s="568"/>
      <c r="E822" s="571"/>
      <c r="F822" s="569"/>
    </row>
    <row r="823" spans="1:6" ht="20.25">
      <c r="A823" s="570"/>
      <c r="B823" s="568"/>
      <c r="C823" s="568"/>
      <c r="D823" s="568"/>
      <c r="E823" s="571"/>
      <c r="F823" s="569"/>
    </row>
    <row r="824" spans="1:6" ht="20.25">
      <c r="A824" s="570"/>
      <c r="B824" s="568"/>
      <c r="C824" s="568"/>
      <c r="D824" s="568"/>
      <c r="E824" s="571"/>
      <c r="F824" s="569"/>
    </row>
    <row r="825" spans="1:6" ht="20.25">
      <c r="A825" s="570"/>
      <c r="B825" s="568"/>
      <c r="C825" s="568"/>
      <c r="D825" s="568"/>
      <c r="E825" s="571"/>
      <c r="F825" s="569"/>
    </row>
    <row r="826" spans="1:6" ht="20.25">
      <c r="A826" s="570"/>
      <c r="B826" s="568"/>
      <c r="C826" s="568"/>
      <c r="D826" s="568"/>
      <c r="E826" s="571"/>
      <c r="F826" s="569"/>
    </row>
    <row r="827" spans="1:6" ht="20.25">
      <c r="A827" s="570"/>
      <c r="B827" s="568"/>
      <c r="C827" s="568"/>
      <c r="D827" s="568"/>
      <c r="E827" s="571"/>
      <c r="F827" s="569"/>
    </row>
    <row r="828" spans="1:6" ht="20.25">
      <c r="A828" s="570"/>
      <c r="B828" s="568"/>
      <c r="C828" s="568"/>
      <c r="D828" s="568"/>
      <c r="E828" s="571"/>
      <c r="F828" s="569"/>
    </row>
    <row r="829" spans="1:6" ht="20.25">
      <c r="A829" s="570"/>
      <c r="B829" s="568"/>
      <c r="C829" s="568"/>
      <c r="D829" s="568"/>
      <c r="E829" s="571"/>
      <c r="F829" s="569"/>
    </row>
    <row r="830" spans="1:6" ht="20.25">
      <c r="A830" s="570"/>
      <c r="B830" s="568"/>
      <c r="C830" s="568"/>
      <c r="D830" s="568"/>
      <c r="E830" s="571"/>
      <c r="F830" s="569"/>
    </row>
    <row r="831" spans="1:6" ht="20.25">
      <c r="A831" s="570"/>
      <c r="B831" s="568"/>
      <c r="C831" s="568"/>
      <c r="D831" s="568"/>
      <c r="E831" s="571"/>
      <c r="F831" s="569"/>
    </row>
    <row r="832" spans="1:6" ht="20.25">
      <c r="A832" s="570"/>
      <c r="B832" s="568"/>
      <c r="C832" s="568"/>
      <c r="D832" s="568"/>
      <c r="E832" s="571"/>
      <c r="F832" s="569"/>
    </row>
    <row r="833" spans="1:6" ht="20.25">
      <c r="A833" s="570"/>
      <c r="B833" s="568"/>
      <c r="C833" s="568"/>
      <c r="D833" s="568"/>
      <c r="E833" s="571"/>
      <c r="F833" s="569"/>
    </row>
    <row r="834" spans="1:6" ht="20.25">
      <c r="A834" s="570"/>
      <c r="B834" s="568"/>
      <c r="C834" s="568"/>
      <c r="D834" s="568"/>
      <c r="E834" s="571"/>
      <c r="F834" s="569"/>
    </row>
    <row r="835" spans="1:6" ht="20.25">
      <c r="A835" s="570"/>
      <c r="B835" s="568"/>
      <c r="C835" s="568"/>
      <c r="D835" s="568"/>
      <c r="E835" s="571"/>
      <c r="F835" s="569"/>
    </row>
    <row r="836" spans="1:6" ht="20.25">
      <c r="A836" s="570"/>
      <c r="B836" s="568"/>
      <c r="C836" s="568"/>
      <c r="D836" s="568"/>
      <c r="E836" s="571"/>
      <c r="F836" s="569"/>
    </row>
    <row r="837" spans="1:6" ht="20.25">
      <c r="A837" s="570"/>
      <c r="B837" s="568"/>
      <c r="C837" s="568"/>
      <c r="D837" s="568"/>
      <c r="E837" s="571"/>
      <c r="F837" s="569"/>
    </row>
    <row r="838" spans="1:6" ht="20.25">
      <c r="A838" s="570"/>
      <c r="B838" s="568"/>
      <c r="C838" s="568"/>
      <c r="D838" s="568"/>
      <c r="E838" s="571"/>
      <c r="F838" s="569"/>
    </row>
    <row r="839" spans="1:6" ht="20.25">
      <c r="A839" s="570"/>
      <c r="B839" s="568"/>
      <c r="C839" s="568"/>
      <c r="D839" s="568"/>
      <c r="E839" s="571"/>
      <c r="F839" s="569"/>
    </row>
    <row r="840" spans="1:6" ht="20.25">
      <c r="A840" s="570"/>
      <c r="B840" s="568"/>
      <c r="C840" s="568"/>
      <c r="D840" s="568"/>
      <c r="E840" s="571"/>
      <c r="F840" s="569"/>
    </row>
    <row r="841" spans="1:6" ht="20.25">
      <c r="A841" s="570"/>
      <c r="B841" s="568"/>
      <c r="C841" s="568"/>
      <c r="D841" s="568"/>
      <c r="E841" s="571"/>
      <c r="F841" s="569"/>
    </row>
    <row r="842" spans="1:6" ht="20.25">
      <c r="A842" s="570"/>
      <c r="B842" s="568"/>
      <c r="C842" s="568"/>
      <c r="D842" s="568"/>
      <c r="E842" s="571"/>
      <c r="F842" s="569"/>
    </row>
    <row r="843" spans="1:6" ht="20.25">
      <c r="A843" s="570"/>
      <c r="B843" s="568"/>
      <c r="C843" s="568"/>
      <c r="D843" s="568"/>
      <c r="E843" s="571"/>
      <c r="F843" s="569"/>
    </row>
    <row r="844" spans="1:6" ht="20.25">
      <c r="A844" s="570"/>
      <c r="B844" s="568"/>
      <c r="C844" s="568"/>
      <c r="D844" s="568"/>
      <c r="E844" s="571"/>
      <c r="F844" s="569"/>
    </row>
    <row r="845" spans="1:6" ht="20.25">
      <c r="A845" s="570"/>
      <c r="B845" s="568"/>
      <c r="C845" s="568"/>
      <c r="D845" s="568"/>
      <c r="E845" s="571"/>
      <c r="F845" s="569"/>
    </row>
    <row r="846" spans="1:6" ht="20.25">
      <c r="A846" s="570"/>
      <c r="B846" s="568"/>
      <c r="C846" s="568"/>
      <c r="D846" s="568"/>
      <c r="E846" s="571"/>
      <c r="F846" s="569"/>
    </row>
    <row r="847" spans="1:6" ht="20.25">
      <c r="A847" s="570"/>
      <c r="B847" s="568"/>
      <c r="C847" s="568"/>
      <c r="D847" s="568"/>
      <c r="E847" s="571"/>
      <c r="F847" s="569"/>
    </row>
    <row r="848" spans="1:6" ht="20.25">
      <c r="A848" s="570"/>
      <c r="B848" s="568"/>
      <c r="C848" s="568"/>
      <c r="D848" s="568"/>
      <c r="E848" s="571"/>
      <c r="F848" s="569"/>
    </row>
    <row r="849" spans="1:6" ht="20.25">
      <c r="A849" s="570"/>
      <c r="B849" s="568"/>
      <c r="C849" s="568"/>
      <c r="D849" s="568"/>
      <c r="E849" s="571"/>
      <c r="F849" s="569"/>
    </row>
    <row r="850" spans="1:6" ht="20.25">
      <c r="A850" s="570"/>
      <c r="B850" s="568"/>
      <c r="C850" s="568"/>
      <c r="D850" s="568"/>
      <c r="E850" s="571"/>
      <c r="F850" s="569"/>
    </row>
    <row r="851" spans="1:6" ht="20.25">
      <c r="A851" s="570"/>
      <c r="B851" s="568"/>
      <c r="C851" s="568"/>
      <c r="D851" s="568"/>
      <c r="E851" s="571"/>
      <c r="F851" s="569"/>
    </row>
    <row r="852" spans="1:6" ht="20.25">
      <c r="A852" s="570"/>
      <c r="B852" s="568"/>
      <c r="C852" s="568"/>
      <c r="D852" s="568"/>
      <c r="E852" s="571"/>
      <c r="F852" s="569"/>
    </row>
    <row r="853" spans="1:6" ht="20.25">
      <c r="A853" s="570"/>
      <c r="B853" s="568"/>
      <c r="C853" s="568"/>
      <c r="D853" s="568"/>
      <c r="E853" s="571"/>
      <c r="F853" s="569"/>
    </row>
    <row r="854" spans="1:6" ht="20.25">
      <c r="A854" s="570"/>
      <c r="B854" s="568"/>
      <c r="C854" s="568"/>
      <c r="D854" s="568"/>
      <c r="E854" s="571"/>
      <c r="F854" s="569"/>
    </row>
    <row r="855" spans="1:6" ht="20.25">
      <c r="A855" s="570"/>
      <c r="B855" s="568"/>
      <c r="C855" s="568"/>
      <c r="D855" s="568"/>
      <c r="E855" s="571"/>
      <c r="F855" s="569"/>
    </row>
    <row r="856" spans="1:6" ht="20.25">
      <c r="A856" s="570"/>
      <c r="B856" s="568"/>
      <c r="C856" s="568"/>
      <c r="D856" s="568"/>
      <c r="E856" s="571"/>
      <c r="F856" s="569"/>
    </row>
    <row r="857" spans="1:6" ht="20.25">
      <c r="A857" s="570"/>
      <c r="B857" s="568"/>
      <c r="C857" s="568"/>
      <c r="D857" s="568"/>
      <c r="E857" s="571"/>
      <c r="F857" s="569"/>
    </row>
    <row r="858" spans="1:6" ht="20.25">
      <c r="A858" s="570"/>
      <c r="B858" s="568"/>
      <c r="C858" s="568"/>
      <c r="D858" s="568"/>
      <c r="E858" s="571"/>
      <c r="F858" s="569"/>
    </row>
    <row r="859" spans="1:6" ht="20.25">
      <c r="A859" s="570"/>
      <c r="B859" s="568"/>
      <c r="C859" s="568"/>
      <c r="D859" s="568"/>
      <c r="E859" s="571"/>
      <c r="F859" s="569"/>
    </row>
    <row r="860" spans="1:6" ht="20.25">
      <c r="A860" s="570"/>
      <c r="B860" s="568"/>
      <c r="C860" s="568"/>
      <c r="D860" s="568"/>
      <c r="E860" s="571"/>
      <c r="F860" s="569"/>
    </row>
    <row r="861" spans="1:6" ht="20.25">
      <c r="A861" s="570"/>
      <c r="B861" s="568"/>
      <c r="C861" s="568"/>
      <c r="D861" s="568"/>
      <c r="E861" s="571"/>
      <c r="F861" s="569"/>
    </row>
    <row r="862" spans="1:6" ht="20.25">
      <c r="A862" s="570"/>
      <c r="B862" s="568"/>
      <c r="C862" s="568"/>
      <c r="D862" s="568"/>
      <c r="E862" s="571"/>
      <c r="F862" s="569"/>
    </row>
    <row r="863" spans="1:6" ht="20.25">
      <c r="A863" s="570"/>
      <c r="B863" s="568"/>
      <c r="C863" s="568"/>
      <c r="D863" s="568"/>
      <c r="E863" s="571"/>
      <c r="F863" s="569"/>
    </row>
    <row r="864" spans="1:6" ht="20.25">
      <c r="A864" s="570"/>
      <c r="B864" s="568"/>
      <c r="C864" s="568"/>
      <c r="D864" s="568"/>
      <c r="E864" s="571"/>
      <c r="F864" s="569"/>
    </row>
    <row r="865" spans="1:6" ht="20.25">
      <c r="A865" s="570"/>
      <c r="B865" s="568"/>
      <c r="C865" s="568"/>
      <c r="D865" s="568"/>
      <c r="E865" s="571"/>
      <c r="F865" s="569"/>
    </row>
    <row r="866" spans="1:6" ht="20.25">
      <c r="A866" s="570"/>
      <c r="B866" s="568"/>
      <c r="C866" s="568"/>
      <c r="D866" s="568"/>
      <c r="E866" s="571"/>
      <c r="F866" s="569"/>
    </row>
    <row r="867" spans="1:6" ht="20.25">
      <c r="A867" s="570"/>
      <c r="B867" s="568"/>
      <c r="C867" s="568"/>
      <c r="D867" s="568"/>
      <c r="E867" s="571"/>
      <c r="F867" s="569"/>
    </row>
    <row r="868" spans="1:6" ht="20.25">
      <c r="A868" s="570"/>
      <c r="B868" s="568"/>
      <c r="C868" s="568"/>
      <c r="D868" s="568"/>
      <c r="E868" s="571"/>
      <c r="F868" s="569"/>
    </row>
    <row r="869" spans="1:6" ht="20.25">
      <c r="A869" s="570"/>
      <c r="B869" s="568"/>
      <c r="C869" s="568"/>
      <c r="D869" s="568"/>
      <c r="E869" s="571"/>
      <c r="F869" s="569"/>
    </row>
    <row r="870" spans="1:6" ht="20.25">
      <c r="A870" s="570"/>
      <c r="B870" s="568"/>
      <c r="C870" s="568"/>
      <c r="D870" s="568"/>
      <c r="E870" s="571"/>
      <c r="F870" s="569"/>
    </row>
    <row r="871" spans="1:6" ht="20.25">
      <c r="A871" s="570"/>
      <c r="B871" s="568"/>
      <c r="C871" s="568"/>
      <c r="D871" s="568"/>
      <c r="E871" s="571"/>
      <c r="F871" s="569"/>
    </row>
    <row r="872" spans="1:6" ht="20.25">
      <c r="A872" s="570"/>
      <c r="B872" s="568"/>
      <c r="C872" s="568"/>
      <c r="D872" s="568"/>
      <c r="E872" s="571"/>
      <c r="F872" s="569"/>
    </row>
    <row r="873" spans="1:6" ht="20.25">
      <c r="A873" s="570"/>
      <c r="B873" s="568"/>
      <c r="C873" s="568"/>
      <c r="D873" s="568"/>
      <c r="E873" s="571"/>
      <c r="F873" s="569"/>
    </row>
    <row r="874" spans="1:6" ht="20.25">
      <c r="A874" s="570"/>
      <c r="B874" s="568"/>
      <c r="C874" s="568"/>
      <c r="D874" s="568"/>
      <c r="E874" s="571"/>
      <c r="F874" s="569"/>
    </row>
    <row r="875" spans="1:6" ht="20.25">
      <c r="A875" s="570"/>
      <c r="B875" s="568"/>
      <c r="C875" s="568"/>
      <c r="D875" s="568"/>
      <c r="E875" s="571"/>
      <c r="F875" s="569"/>
    </row>
    <row r="876" spans="1:6" ht="20.25">
      <c r="A876" s="570"/>
      <c r="B876" s="568"/>
      <c r="C876" s="568"/>
      <c r="D876" s="568"/>
      <c r="E876" s="571"/>
      <c r="F876" s="569"/>
    </row>
    <row r="877" spans="1:6" ht="20.25">
      <c r="A877" s="570"/>
      <c r="B877" s="568"/>
      <c r="C877" s="568"/>
      <c r="D877" s="568"/>
      <c r="E877" s="571"/>
      <c r="F877" s="569"/>
    </row>
    <row r="878" spans="1:6" ht="20.25">
      <c r="A878" s="570"/>
      <c r="B878" s="568"/>
      <c r="C878" s="568"/>
      <c r="D878" s="568"/>
      <c r="E878" s="571"/>
      <c r="F878" s="569"/>
    </row>
    <row r="879" spans="1:6" ht="20.25">
      <c r="A879" s="570"/>
      <c r="B879" s="568"/>
      <c r="C879" s="568"/>
      <c r="D879" s="568"/>
      <c r="E879" s="571"/>
      <c r="F879" s="569"/>
    </row>
    <row r="880" spans="1:6" ht="20.25">
      <c r="A880" s="570"/>
      <c r="B880" s="568"/>
      <c r="C880" s="568"/>
      <c r="D880" s="568"/>
      <c r="E880" s="571"/>
      <c r="F880" s="569"/>
    </row>
    <row r="881" spans="1:6" ht="20.25">
      <c r="A881" s="570"/>
      <c r="B881" s="568"/>
      <c r="C881" s="568"/>
      <c r="D881" s="568"/>
      <c r="E881" s="571"/>
      <c r="F881" s="569"/>
    </row>
    <row r="882" spans="1:6" ht="20.25">
      <c r="A882" s="570"/>
      <c r="B882" s="568"/>
      <c r="C882" s="568"/>
      <c r="D882" s="568"/>
      <c r="E882" s="571"/>
      <c r="F882" s="569"/>
    </row>
    <row r="883" spans="1:6" ht="20.25">
      <c r="A883" s="570"/>
      <c r="B883" s="568"/>
      <c r="C883" s="568"/>
      <c r="D883" s="568"/>
      <c r="E883" s="571"/>
      <c r="F883" s="569"/>
    </row>
    <row r="884" spans="1:6" ht="20.25">
      <c r="A884" s="570"/>
      <c r="B884" s="568"/>
      <c r="C884" s="568"/>
      <c r="D884" s="568"/>
      <c r="E884" s="571"/>
      <c r="F884" s="569"/>
    </row>
    <row r="885" spans="1:6" ht="20.25">
      <c r="A885" s="570"/>
      <c r="B885" s="568"/>
      <c r="C885" s="568"/>
      <c r="D885" s="568"/>
      <c r="E885" s="571"/>
      <c r="F885" s="569"/>
    </row>
    <row r="886" spans="1:6" ht="20.25">
      <c r="A886" s="570"/>
      <c r="B886" s="568"/>
      <c r="C886" s="568"/>
      <c r="D886" s="568"/>
      <c r="E886" s="571"/>
      <c r="F886" s="569"/>
    </row>
    <row r="887" spans="1:6" ht="20.25">
      <c r="A887" s="570"/>
      <c r="B887" s="568"/>
      <c r="C887" s="568"/>
      <c r="D887" s="568"/>
      <c r="E887" s="571"/>
      <c r="F887" s="569"/>
    </row>
    <row r="888" spans="1:6" ht="20.25">
      <c r="A888" s="570"/>
      <c r="B888" s="568"/>
      <c r="C888" s="568"/>
      <c r="D888" s="568"/>
      <c r="E888" s="571"/>
      <c r="F888" s="569"/>
    </row>
    <row r="889" spans="1:6" ht="20.25">
      <c r="A889" s="570"/>
      <c r="B889" s="568"/>
      <c r="C889" s="568"/>
      <c r="D889" s="568"/>
      <c r="E889" s="571"/>
      <c r="F889" s="569"/>
    </row>
    <row r="890" spans="1:6" ht="20.25">
      <c r="A890" s="570"/>
      <c r="B890" s="568"/>
      <c r="C890" s="568"/>
      <c r="D890" s="568"/>
      <c r="E890" s="571"/>
      <c r="F890" s="569"/>
    </row>
    <row r="891" spans="1:6" ht="20.25">
      <c r="A891" s="570"/>
      <c r="B891" s="568"/>
      <c r="C891" s="568"/>
      <c r="D891" s="568"/>
      <c r="E891" s="571"/>
      <c r="F891" s="569"/>
    </row>
    <row r="892" spans="1:6" ht="20.25">
      <c r="A892" s="570"/>
      <c r="B892" s="568"/>
      <c r="C892" s="568"/>
      <c r="D892" s="568"/>
      <c r="E892" s="571"/>
      <c r="F892" s="569"/>
    </row>
    <row r="893" spans="1:6" ht="20.25">
      <c r="A893" s="570"/>
      <c r="B893" s="568"/>
      <c r="C893" s="568"/>
      <c r="D893" s="568"/>
      <c r="E893" s="571"/>
      <c r="F893" s="569"/>
    </row>
    <row r="894" spans="1:6" ht="20.25">
      <c r="A894" s="570"/>
      <c r="B894" s="568"/>
      <c r="C894" s="568"/>
      <c r="D894" s="568"/>
      <c r="E894" s="571"/>
      <c r="F894" s="569"/>
    </row>
    <row r="895" spans="1:6" ht="20.25">
      <c r="A895" s="570"/>
      <c r="B895" s="568"/>
      <c r="C895" s="568"/>
      <c r="D895" s="568"/>
      <c r="E895" s="571"/>
      <c r="F895" s="569"/>
    </row>
    <row r="896" spans="1:6" ht="20.25">
      <c r="A896" s="570"/>
      <c r="B896" s="568"/>
      <c r="C896" s="568"/>
      <c r="D896" s="568"/>
      <c r="E896" s="571"/>
      <c r="F896" s="569"/>
    </row>
    <row r="897" spans="1:6" ht="20.25">
      <c r="A897" s="570"/>
      <c r="B897" s="568"/>
      <c r="C897" s="568"/>
      <c r="D897" s="568"/>
      <c r="E897" s="571"/>
      <c r="F897" s="569"/>
    </row>
    <row r="898" spans="1:6" ht="20.25">
      <c r="A898" s="570"/>
      <c r="B898" s="568"/>
      <c r="C898" s="568"/>
      <c r="D898" s="568"/>
      <c r="E898" s="571"/>
      <c r="F898" s="569"/>
    </row>
    <row r="899" spans="1:6" ht="20.25">
      <c r="A899" s="570"/>
      <c r="B899" s="568"/>
      <c r="C899" s="568"/>
      <c r="D899" s="568"/>
      <c r="E899" s="571"/>
      <c r="F899" s="569"/>
    </row>
    <row r="900" spans="1:6" ht="20.25">
      <c r="A900" s="570"/>
      <c r="B900" s="568"/>
      <c r="C900" s="568"/>
      <c r="D900" s="568"/>
      <c r="E900" s="571"/>
      <c r="F900" s="569"/>
    </row>
    <row r="901" spans="1:6" ht="20.25">
      <c r="A901" s="570"/>
      <c r="B901" s="568"/>
      <c r="C901" s="568"/>
      <c r="D901" s="568"/>
      <c r="E901" s="571"/>
      <c r="F901" s="569"/>
    </row>
    <row r="902" spans="1:6" ht="20.25">
      <c r="A902" s="570"/>
      <c r="B902" s="568"/>
      <c r="C902" s="568"/>
      <c r="D902" s="568"/>
      <c r="E902" s="571"/>
      <c r="F902" s="569"/>
    </row>
    <row r="903" spans="1:6" ht="20.25">
      <c r="A903" s="570"/>
      <c r="B903" s="568"/>
      <c r="C903" s="568"/>
      <c r="D903" s="568"/>
      <c r="E903" s="571"/>
      <c r="F903" s="569"/>
    </row>
    <row r="904" spans="1:6" ht="20.25">
      <c r="A904" s="570"/>
      <c r="B904" s="568"/>
      <c r="C904" s="568"/>
      <c r="D904" s="568"/>
      <c r="E904" s="571"/>
      <c r="F904" s="569"/>
    </row>
    <row r="905" spans="1:6" ht="20.25">
      <c r="A905" s="570"/>
      <c r="B905" s="568"/>
      <c r="C905" s="568"/>
      <c r="D905" s="568"/>
      <c r="E905" s="571"/>
      <c r="F905" s="569"/>
    </row>
    <row r="906" spans="1:6" ht="20.25">
      <c r="A906" s="570"/>
      <c r="B906" s="568"/>
      <c r="C906" s="568"/>
      <c r="D906" s="568"/>
      <c r="E906" s="571"/>
      <c r="F906" s="569"/>
    </row>
    <row r="907" spans="1:6" ht="20.25">
      <c r="A907" s="570"/>
      <c r="B907" s="568"/>
      <c r="C907" s="568"/>
      <c r="D907" s="568"/>
      <c r="E907" s="571"/>
      <c r="F907" s="569"/>
    </row>
    <row r="908" spans="1:6" ht="20.25">
      <c r="A908" s="570"/>
      <c r="B908" s="568"/>
      <c r="C908" s="568"/>
      <c r="D908" s="568"/>
      <c r="E908" s="571"/>
      <c r="F908" s="569"/>
    </row>
    <row r="909" spans="1:6" ht="20.25">
      <c r="A909" s="570"/>
      <c r="B909" s="568"/>
      <c r="C909" s="568"/>
      <c r="D909" s="568"/>
      <c r="E909" s="571"/>
      <c r="F909" s="569"/>
    </row>
    <row r="910" spans="1:6" ht="20.25">
      <c r="A910" s="570"/>
      <c r="B910" s="568"/>
      <c r="C910" s="568"/>
      <c r="D910" s="568"/>
      <c r="E910" s="571"/>
      <c r="F910" s="569"/>
    </row>
    <row r="911" spans="1:6" ht="20.25">
      <c r="A911" s="570"/>
      <c r="B911" s="568"/>
      <c r="C911" s="568"/>
      <c r="D911" s="568"/>
      <c r="E911" s="571"/>
      <c r="F911" s="569"/>
    </row>
    <row r="912" spans="1:6" ht="20.25">
      <c r="A912" s="570"/>
      <c r="B912" s="568"/>
      <c r="C912" s="568"/>
      <c r="D912" s="568"/>
      <c r="E912" s="571"/>
      <c r="F912" s="569"/>
    </row>
    <row r="913" spans="1:6" ht="20.25">
      <c r="A913" s="570"/>
      <c r="B913" s="568"/>
      <c r="C913" s="568"/>
      <c r="D913" s="568"/>
      <c r="E913" s="571"/>
      <c r="F913" s="569"/>
    </row>
    <row r="914" spans="1:6" ht="20.25">
      <c r="A914" s="570"/>
      <c r="B914" s="568"/>
      <c r="C914" s="568"/>
      <c r="D914" s="568"/>
      <c r="E914" s="571"/>
      <c r="F914" s="569"/>
    </row>
    <row r="915" spans="1:6" ht="20.25">
      <c r="A915" s="570"/>
      <c r="B915" s="568"/>
      <c r="C915" s="568"/>
      <c r="D915" s="568"/>
      <c r="E915" s="571"/>
      <c r="F915" s="569"/>
    </row>
    <row r="916" spans="1:6" ht="20.25">
      <c r="A916" s="570"/>
      <c r="B916" s="568"/>
      <c r="C916" s="568"/>
      <c r="D916" s="568"/>
      <c r="E916" s="571"/>
      <c r="F916" s="569"/>
    </row>
    <row r="917" spans="1:6" ht="20.25">
      <c r="A917" s="570"/>
      <c r="B917" s="568"/>
      <c r="C917" s="568"/>
      <c r="D917" s="568"/>
      <c r="E917" s="571"/>
      <c r="F917" s="569"/>
    </row>
    <row r="918" spans="1:6" ht="20.25">
      <c r="A918" s="570"/>
      <c r="B918" s="568"/>
      <c r="C918" s="568"/>
      <c r="D918" s="568"/>
      <c r="E918" s="571"/>
      <c r="F918" s="569"/>
    </row>
    <row r="919" spans="1:6" ht="20.25">
      <c r="A919" s="570"/>
      <c r="B919" s="568"/>
      <c r="C919" s="568"/>
      <c r="D919" s="568"/>
      <c r="E919" s="571"/>
      <c r="F919" s="569"/>
    </row>
    <row r="920" spans="1:6" ht="20.25">
      <c r="A920" s="570"/>
      <c r="B920" s="568"/>
      <c r="C920" s="568"/>
      <c r="D920" s="568"/>
      <c r="E920" s="571"/>
      <c r="F920" s="569"/>
    </row>
    <row r="921" spans="1:6" ht="20.25">
      <c r="A921" s="570"/>
      <c r="B921" s="568"/>
      <c r="C921" s="568"/>
      <c r="D921" s="568"/>
      <c r="E921" s="571"/>
      <c r="F921" s="569"/>
    </row>
    <row r="922" spans="1:6" ht="20.25">
      <c r="A922" s="570"/>
      <c r="B922" s="568"/>
      <c r="C922" s="568"/>
      <c r="D922" s="568"/>
      <c r="E922" s="571"/>
      <c r="F922" s="569"/>
    </row>
    <row r="923" spans="1:6" ht="20.25">
      <c r="A923" s="570"/>
      <c r="B923" s="568"/>
      <c r="C923" s="568"/>
      <c r="D923" s="568"/>
      <c r="E923" s="571"/>
      <c r="F923" s="569"/>
    </row>
    <row r="924" spans="1:6" ht="20.25">
      <c r="A924" s="570"/>
      <c r="B924" s="568"/>
      <c r="C924" s="568"/>
      <c r="D924" s="568"/>
      <c r="E924" s="571"/>
      <c r="F924" s="569"/>
    </row>
    <row r="925" spans="1:6" ht="20.25">
      <c r="A925" s="570"/>
      <c r="B925" s="568"/>
      <c r="C925" s="568"/>
      <c r="D925" s="568"/>
      <c r="E925" s="571"/>
      <c r="F925" s="569"/>
    </row>
    <row r="926" spans="1:6" ht="20.25">
      <c r="A926" s="570"/>
      <c r="B926" s="568"/>
      <c r="C926" s="568"/>
      <c r="D926" s="568"/>
      <c r="E926" s="571"/>
      <c r="F926" s="569"/>
    </row>
    <row r="927" spans="1:6" ht="20.25">
      <c r="A927" s="570"/>
      <c r="B927" s="568"/>
      <c r="C927" s="568"/>
      <c r="D927" s="568"/>
      <c r="E927" s="571"/>
      <c r="F927" s="569"/>
    </row>
    <row r="928" spans="1:6" ht="20.25">
      <c r="A928" s="570"/>
      <c r="B928" s="568"/>
      <c r="C928" s="568"/>
      <c r="D928" s="568"/>
      <c r="E928" s="571"/>
      <c r="F928" s="569"/>
    </row>
    <row r="929" spans="1:6" ht="20.25">
      <c r="A929" s="570"/>
      <c r="B929" s="568"/>
      <c r="C929" s="568"/>
      <c r="D929" s="568"/>
      <c r="E929" s="571"/>
      <c r="F929" s="569"/>
    </row>
    <row r="930" spans="1:6" ht="20.25">
      <c r="A930" s="570"/>
      <c r="B930" s="568"/>
      <c r="C930" s="568"/>
      <c r="D930" s="568"/>
      <c r="E930" s="571"/>
      <c r="F930" s="569"/>
    </row>
    <row r="931" spans="1:6" ht="20.25">
      <c r="A931" s="570"/>
      <c r="B931" s="568"/>
      <c r="C931" s="568"/>
      <c r="D931" s="568"/>
      <c r="E931" s="571"/>
      <c r="F931" s="569"/>
    </row>
    <row r="932" spans="1:6" ht="20.25">
      <c r="A932" s="570"/>
      <c r="B932" s="568"/>
      <c r="C932" s="568"/>
      <c r="D932" s="568"/>
      <c r="E932" s="571"/>
      <c r="F932" s="569"/>
    </row>
    <row r="933" spans="1:6" ht="20.25">
      <c r="A933" s="570"/>
      <c r="B933" s="568"/>
      <c r="C933" s="568"/>
      <c r="D933" s="568"/>
      <c r="E933" s="571"/>
      <c r="F933" s="569"/>
    </row>
    <row r="934" spans="1:6" ht="20.25">
      <c r="A934" s="570"/>
      <c r="B934" s="568"/>
      <c r="C934" s="568"/>
      <c r="D934" s="568"/>
      <c r="E934" s="571"/>
      <c r="F934" s="569"/>
    </row>
    <row r="935" spans="1:6" ht="20.25">
      <c r="A935" s="570"/>
      <c r="B935" s="568"/>
      <c r="C935" s="568"/>
      <c r="D935" s="568"/>
      <c r="E935" s="571"/>
      <c r="F935" s="569"/>
    </row>
    <row r="936" spans="1:6" ht="20.25">
      <c r="A936" s="570"/>
      <c r="B936" s="568"/>
      <c r="C936" s="568"/>
      <c r="D936" s="568"/>
      <c r="E936" s="571"/>
      <c r="F936" s="569"/>
    </row>
    <row r="937" spans="1:6" ht="20.25">
      <c r="A937" s="570"/>
      <c r="B937" s="568"/>
      <c r="C937" s="568"/>
      <c r="D937" s="568"/>
      <c r="E937" s="571"/>
      <c r="F937" s="569"/>
    </row>
    <row r="938" spans="1:6" ht="20.25">
      <c r="A938" s="570"/>
      <c r="B938" s="568"/>
      <c r="C938" s="568"/>
      <c r="D938" s="568"/>
      <c r="E938" s="571"/>
      <c r="F938" s="569"/>
    </row>
    <row r="939" spans="1:6" ht="20.25">
      <c r="A939" s="570"/>
      <c r="B939" s="568"/>
      <c r="C939" s="568"/>
      <c r="D939" s="568"/>
      <c r="E939" s="571"/>
      <c r="F939" s="569"/>
    </row>
    <row r="940" spans="1:6" ht="20.25">
      <c r="A940" s="570"/>
      <c r="B940" s="568"/>
      <c r="C940" s="568"/>
      <c r="D940" s="568"/>
      <c r="E940" s="571"/>
      <c r="F940" s="569"/>
    </row>
    <row r="941" spans="1:6" ht="20.25">
      <c r="A941" s="570"/>
      <c r="B941" s="568"/>
      <c r="C941" s="568"/>
      <c r="D941" s="568"/>
      <c r="E941" s="571"/>
      <c r="F941" s="569"/>
    </row>
    <row r="942" spans="1:6" ht="20.25">
      <c r="A942" s="570"/>
      <c r="B942" s="568"/>
      <c r="C942" s="568"/>
      <c r="D942" s="568"/>
      <c r="E942" s="571"/>
      <c r="F942" s="569"/>
    </row>
    <row r="943" spans="1:6" ht="20.25">
      <c r="A943" s="570"/>
      <c r="B943" s="568"/>
      <c r="C943" s="568"/>
      <c r="D943" s="568"/>
      <c r="E943" s="571"/>
      <c r="F943" s="569"/>
    </row>
    <row r="944" spans="1:6" ht="20.25">
      <c r="A944" s="570"/>
      <c r="B944" s="568"/>
      <c r="C944" s="568"/>
      <c r="D944" s="568"/>
      <c r="E944" s="571"/>
      <c r="F944" s="569"/>
    </row>
    <row r="945" spans="1:6" ht="20.25">
      <c r="A945" s="570"/>
      <c r="B945" s="568"/>
      <c r="C945" s="568"/>
      <c r="D945" s="568"/>
      <c r="E945" s="571"/>
      <c r="F945" s="569"/>
    </row>
    <row r="946" spans="1:6" ht="20.25">
      <c r="A946" s="570"/>
      <c r="B946" s="568"/>
      <c r="C946" s="568"/>
      <c r="D946" s="568"/>
      <c r="E946" s="571"/>
      <c r="F946" s="569"/>
    </row>
    <row r="947" spans="1:6" ht="20.25">
      <c r="A947" s="570"/>
      <c r="B947" s="568"/>
      <c r="C947" s="568"/>
      <c r="D947" s="568"/>
      <c r="E947" s="571"/>
      <c r="F947" s="569"/>
    </row>
    <row r="948" spans="1:6" ht="20.25">
      <c r="A948" s="570"/>
      <c r="B948" s="568"/>
      <c r="C948" s="568"/>
      <c r="D948" s="568"/>
      <c r="E948" s="571"/>
      <c r="F948" s="569"/>
    </row>
    <row r="949" spans="1:6" ht="20.25">
      <c r="A949" s="570"/>
      <c r="B949" s="568"/>
      <c r="C949" s="568"/>
      <c r="D949" s="568"/>
      <c r="E949" s="571"/>
      <c r="F949" s="569"/>
    </row>
    <row r="950" spans="1:6" ht="20.25">
      <c r="A950" s="570"/>
      <c r="B950" s="568"/>
      <c r="C950" s="568"/>
      <c r="D950" s="568"/>
      <c r="E950" s="571"/>
      <c r="F950" s="569"/>
    </row>
    <row r="951" spans="1:6" ht="20.25">
      <c r="A951" s="570"/>
      <c r="B951" s="568"/>
      <c r="C951" s="568"/>
      <c r="D951" s="568"/>
      <c r="E951" s="571"/>
      <c r="F951" s="569"/>
    </row>
    <row r="952" spans="1:6" ht="20.25">
      <c r="A952" s="570"/>
      <c r="B952" s="568"/>
      <c r="C952" s="568"/>
      <c r="D952" s="568"/>
      <c r="E952" s="571"/>
      <c r="F952" s="569"/>
    </row>
    <row r="953" spans="1:6" ht="20.25">
      <c r="A953" s="570"/>
      <c r="B953" s="568"/>
      <c r="C953" s="568"/>
      <c r="D953" s="568"/>
      <c r="E953" s="571"/>
      <c r="F953" s="569"/>
    </row>
    <row r="954" spans="1:6" ht="20.25">
      <c r="A954" s="570"/>
      <c r="B954" s="568"/>
      <c r="C954" s="568"/>
      <c r="D954" s="568"/>
      <c r="E954" s="571"/>
      <c r="F954" s="569"/>
    </row>
    <row r="955" spans="1:6" ht="20.25">
      <c r="A955" s="570"/>
      <c r="B955" s="568"/>
      <c r="C955" s="568"/>
      <c r="D955" s="568"/>
      <c r="E955" s="571"/>
      <c r="F955" s="569"/>
    </row>
    <row r="956" spans="1:6" ht="20.25">
      <c r="A956" s="570"/>
      <c r="B956" s="568"/>
      <c r="C956" s="568"/>
      <c r="D956" s="568"/>
      <c r="E956" s="571"/>
      <c r="F956" s="569"/>
    </row>
    <row r="957" spans="1:6" ht="20.25">
      <c r="A957" s="570"/>
      <c r="B957" s="568"/>
      <c r="C957" s="568"/>
      <c r="D957" s="568"/>
      <c r="E957" s="571"/>
      <c r="F957" s="569"/>
    </row>
    <row r="958" spans="1:6" ht="20.25">
      <c r="A958" s="570"/>
      <c r="B958" s="568"/>
      <c r="C958" s="568"/>
      <c r="D958" s="568"/>
      <c r="E958" s="571"/>
      <c r="F958" s="569"/>
    </row>
    <row r="959" spans="1:6" ht="20.25">
      <c r="A959" s="570"/>
      <c r="B959" s="568"/>
      <c r="C959" s="568"/>
      <c r="D959" s="568"/>
      <c r="E959" s="571"/>
      <c r="F959" s="569"/>
    </row>
    <row r="960" spans="1:6" ht="20.25">
      <c r="A960" s="570"/>
      <c r="B960" s="568"/>
      <c r="C960" s="568"/>
      <c r="D960" s="568"/>
      <c r="E960" s="571"/>
      <c r="F960" s="569"/>
    </row>
    <row r="961" spans="1:6" ht="20.25">
      <c r="A961" s="570"/>
      <c r="B961" s="568"/>
      <c r="C961" s="568"/>
      <c r="D961" s="568"/>
      <c r="E961" s="571"/>
      <c r="F961" s="569"/>
    </row>
    <row r="962" spans="1:6" ht="20.25">
      <c r="A962" s="570"/>
      <c r="B962" s="568"/>
      <c r="C962" s="568"/>
      <c r="D962" s="568"/>
      <c r="E962" s="571"/>
      <c r="F962" s="569"/>
    </row>
    <row r="963" spans="1:6" ht="20.25">
      <c r="A963" s="570"/>
      <c r="B963" s="568"/>
      <c r="C963" s="568"/>
      <c r="D963" s="568"/>
      <c r="E963" s="571"/>
      <c r="F963" s="569"/>
    </row>
    <row r="964" spans="1:6" ht="20.25">
      <c r="A964" s="570"/>
      <c r="B964" s="568"/>
      <c r="C964" s="568"/>
      <c r="D964" s="568"/>
      <c r="E964" s="571"/>
      <c r="F964" s="569"/>
    </row>
    <row r="965" spans="1:6" ht="20.25">
      <c r="A965" s="570"/>
      <c r="B965" s="568"/>
      <c r="C965" s="568"/>
      <c r="D965" s="568"/>
      <c r="E965" s="571"/>
      <c r="F965" s="569"/>
    </row>
    <row r="966" spans="1:6" ht="20.25">
      <c r="A966" s="570"/>
      <c r="B966" s="568"/>
      <c r="C966" s="568"/>
      <c r="D966" s="568"/>
      <c r="E966" s="571"/>
      <c r="F966" s="569"/>
    </row>
    <row r="967" spans="1:6" ht="20.25">
      <c r="A967" s="570"/>
      <c r="B967" s="568"/>
      <c r="C967" s="568"/>
      <c r="D967" s="568"/>
      <c r="E967" s="571"/>
      <c r="F967" s="569"/>
    </row>
    <row r="968" spans="1:6" ht="20.25">
      <c r="A968" s="570"/>
      <c r="B968" s="568"/>
      <c r="C968" s="568"/>
      <c r="D968" s="568"/>
      <c r="E968" s="571"/>
      <c r="F968" s="569"/>
    </row>
    <row r="969" spans="1:6" ht="20.25">
      <c r="A969" s="570"/>
      <c r="B969" s="568"/>
      <c r="C969" s="568"/>
      <c r="D969" s="568"/>
      <c r="E969" s="571"/>
      <c r="F969" s="569"/>
    </row>
    <row r="970" spans="1:6" ht="20.25">
      <c r="A970" s="570"/>
      <c r="B970" s="568"/>
      <c r="C970" s="568"/>
      <c r="D970" s="568"/>
      <c r="E970" s="571"/>
      <c r="F970" s="569"/>
    </row>
    <row r="971" spans="1:6" ht="20.25">
      <c r="A971" s="570"/>
      <c r="B971" s="568"/>
      <c r="C971" s="568"/>
      <c r="D971" s="568"/>
      <c r="E971" s="571"/>
      <c r="F971" s="569"/>
    </row>
    <row r="972" spans="1:6" ht="20.25">
      <c r="A972" s="570"/>
      <c r="B972" s="568"/>
      <c r="C972" s="568"/>
      <c r="D972" s="568"/>
      <c r="E972" s="571"/>
      <c r="F972" s="569"/>
    </row>
    <row r="973" spans="1:6" ht="20.25">
      <c r="A973" s="570"/>
      <c r="B973" s="568"/>
      <c r="C973" s="568"/>
      <c r="D973" s="568"/>
      <c r="E973" s="571"/>
      <c r="F973" s="569"/>
    </row>
    <row r="974" spans="1:6" ht="20.25">
      <c r="A974" s="570"/>
      <c r="B974" s="568"/>
      <c r="C974" s="568"/>
      <c r="D974" s="568"/>
      <c r="E974" s="571"/>
      <c r="F974" s="569"/>
    </row>
    <row r="975" spans="1:6" ht="20.25">
      <c r="A975" s="570"/>
      <c r="B975" s="568"/>
      <c r="C975" s="568"/>
      <c r="D975" s="568"/>
      <c r="E975" s="571"/>
      <c r="F975" s="569"/>
    </row>
    <row r="976" spans="1:6" ht="20.25">
      <c r="A976" s="570"/>
      <c r="B976" s="568"/>
      <c r="C976" s="568"/>
      <c r="D976" s="568"/>
      <c r="E976" s="571"/>
      <c r="F976" s="569"/>
    </row>
    <row r="977" spans="1:6" ht="20.25">
      <c r="A977" s="570"/>
      <c r="B977" s="568"/>
      <c r="C977" s="568"/>
      <c r="D977" s="568"/>
      <c r="E977" s="571"/>
      <c r="F977" s="569"/>
    </row>
    <row r="978" spans="1:6" ht="20.25">
      <c r="A978" s="570"/>
      <c r="B978" s="568"/>
      <c r="C978" s="568"/>
      <c r="D978" s="568"/>
      <c r="E978" s="571"/>
      <c r="F978" s="569"/>
    </row>
    <row r="979" spans="1:6" ht="20.25">
      <c r="A979" s="570"/>
      <c r="B979" s="568"/>
      <c r="C979" s="568"/>
      <c r="D979" s="568"/>
      <c r="E979" s="571"/>
      <c r="F979" s="569"/>
    </row>
    <row r="980" spans="1:6" ht="20.25">
      <c r="A980" s="570"/>
      <c r="B980" s="568"/>
      <c r="C980" s="568"/>
      <c r="D980" s="568"/>
      <c r="E980" s="571"/>
      <c r="F980" s="569"/>
    </row>
    <row r="981" spans="1:6" ht="20.25">
      <c r="A981" s="570"/>
      <c r="B981" s="568"/>
      <c r="C981" s="568"/>
      <c r="D981" s="568"/>
      <c r="E981" s="571"/>
      <c r="F981" s="569"/>
    </row>
    <row r="982" spans="1:6" ht="20.25">
      <c r="A982" s="570"/>
      <c r="B982" s="568"/>
      <c r="C982" s="568"/>
      <c r="D982" s="568"/>
      <c r="E982" s="571"/>
      <c r="F982" s="569"/>
    </row>
    <row r="983" spans="1:6" ht="20.25">
      <c r="A983" s="570"/>
      <c r="B983" s="568"/>
      <c r="C983" s="568"/>
      <c r="D983" s="568"/>
      <c r="E983" s="571"/>
      <c r="F983" s="569"/>
    </row>
    <row r="984" spans="1:6" ht="20.25">
      <c r="A984" s="570"/>
      <c r="B984" s="568"/>
      <c r="C984" s="568"/>
      <c r="D984" s="568"/>
      <c r="E984" s="571"/>
      <c r="F984" s="569"/>
    </row>
    <row r="985" spans="1:6" ht="20.25">
      <c r="A985" s="570"/>
      <c r="B985" s="568"/>
      <c r="C985" s="568"/>
      <c r="D985" s="568"/>
      <c r="E985" s="571"/>
      <c r="F985" s="569"/>
    </row>
    <row r="986" spans="1:6" ht="20.25">
      <c r="A986" s="570"/>
      <c r="B986" s="568"/>
      <c r="C986" s="568"/>
      <c r="D986" s="568"/>
      <c r="E986" s="571"/>
      <c r="F986" s="569"/>
    </row>
    <row r="987" spans="1:6" ht="20.25">
      <c r="A987" s="570"/>
      <c r="B987" s="568"/>
      <c r="C987" s="568"/>
      <c r="D987" s="568"/>
      <c r="E987" s="571"/>
      <c r="F987" s="569"/>
    </row>
    <row r="988" spans="1:6" ht="20.25">
      <c r="A988" s="570"/>
      <c r="B988" s="568"/>
      <c r="C988" s="568"/>
      <c r="D988" s="568"/>
      <c r="E988" s="571"/>
      <c r="F988" s="569"/>
    </row>
    <row r="989" spans="1:6" ht="20.25">
      <c r="A989" s="570"/>
      <c r="B989" s="568"/>
      <c r="C989" s="568"/>
      <c r="D989" s="568"/>
      <c r="E989" s="571"/>
      <c r="F989" s="569"/>
    </row>
    <row r="990" spans="1:6" ht="20.25">
      <c r="A990" s="570"/>
      <c r="B990" s="568"/>
      <c r="C990" s="568"/>
      <c r="D990" s="568"/>
      <c r="E990" s="571"/>
      <c r="F990" s="569"/>
    </row>
    <row r="991" spans="1:6" ht="20.25">
      <c r="A991" s="570"/>
      <c r="B991" s="568"/>
      <c r="C991" s="568"/>
      <c r="D991" s="568"/>
      <c r="E991" s="571"/>
      <c r="F991" s="569"/>
    </row>
    <row r="992" spans="1:6" ht="20.25">
      <c r="A992" s="570"/>
      <c r="B992" s="568"/>
      <c r="C992" s="568"/>
      <c r="D992" s="568"/>
      <c r="E992" s="571"/>
      <c r="F992" s="569"/>
    </row>
    <row r="993" spans="1:6" ht="20.25">
      <c r="A993" s="570"/>
      <c r="B993" s="568"/>
      <c r="C993" s="568"/>
      <c r="D993" s="568"/>
      <c r="E993" s="571"/>
      <c r="F993" s="569"/>
    </row>
    <row r="994" spans="1:6" ht="20.25">
      <c r="A994" s="570"/>
      <c r="B994" s="568"/>
      <c r="C994" s="568"/>
      <c r="D994" s="568"/>
      <c r="E994" s="571"/>
      <c r="F994" s="569"/>
    </row>
    <row r="995" spans="1:6" ht="20.25">
      <c r="A995" s="570"/>
      <c r="B995" s="568"/>
      <c r="C995" s="568"/>
      <c r="D995" s="568"/>
      <c r="E995" s="571"/>
      <c r="F995" s="569"/>
    </row>
    <row r="996" spans="1:6" ht="20.25">
      <c r="A996" s="570"/>
      <c r="B996" s="568"/>
      <c r="C996" s="568"/>
      <c r="D996" s="568"/>
      <c r="E996" s="571"/>
      <c r="F996" s="569"/>
    </row>
    <row r="997" spans="1:6" ht="20.25">
      <c r="A997" s="570"/>
      <c r="B997" s="568"/>
      <c r="C997" s="568"/>
      <c r="D997" s="568"/>
      <c r="E997" s="571"/>
      <c r="F997" s="569"/>
    </row>
    <row r="998" spans="1:6" ht="20.25">
      <c r="A998" s="570"/>
      <c r="B998" s="568"/>
      <c r="C998" s="568"/>
      <c r="D998" s="568"/>
      <c r="E998" s="571"/>
      <c r="F998" s="569"/>
    </row>
    <row r="999" spans="1:6" ht="20.25">
      <c r="A999" s="570"/>
      <c r="B999" s="568"/>
      <c r="C999" s="568"/>
      <c r="D999" s="568"/>
      <c r="E999" s="571"/>
      <c r="F999" s="569"/>
    </row>
    <row r="1000" spans="1:6" ht="20.25">
      <c r="A1000" s="570"/>
      <c r="B1000" s="568"/>
      <c r="C1000" s="568"/>
      <c r="D1000" s="568"/>
      <c r="E1000" s="571"/>
      <c r="F1000" s="569"/>
    </row>
    <row r="1001" spans="1:6" ht="20.25">
      <c r="A1001" s="570"/>
      <c r="B1001" s="568"/>
      <c r="C1001" s="568"/>
      <c r="D1001" s="568"/>
      <c r="E1001" s="571"/>
      <c r="F1001" s="569"/>
    </row>
    <row r="1002" spans="1:6" ht="20.25">
      <c r="A1002" s="570"/>
      <c r="B1002" s="568"/>
      <c r="C1002" s="568"/>
      <c r="D1002" s="568"/>
      <c r="E1002" s="571"/>
      <c r="F1002" s="569"/>
    </row>
    <row r="1003" spans="1:6" ht="20.25">
      <c r="A1003" s="570"/>
      <c r="B1003" s="568"/>
      <c r="C1003" s="568"/>
      <c r="D1003" s="568"/>
      <c r="E1003" s="571"/>
      <c r="F1003" s="569"/>
    </row>
    <row r="1004" spans="1:6" ht="20.25">
      <c r="A1004" s="570"/>
      <c r="B1004" s="568"/>
      <c r="C1004" s="568"/>
      <c r="D1004" s="568"/>
      <c r="E1004" s="571"/>
      <c r="F1004" s="569"/>
    </row>
    <row r="1005" spans="1:6" ht="20.25">
      <c r="A1005" s="570"/>
      <c r="B1005" s="568"/>
      <c r="C1005" s="568"/>
      <c r="D1005" s="568"/>
      <c r="E1005" s="571"/>
      <c r="F1005" s="569"/>
    </row>
    <row r="1006" spans="1:6" ht="20.25">
      <c r="A1006" s="570"/>
      <c r="B1006" s="568"/>
      <c r="C1006" s="568"/>
      <c r="D1006" s="568"/>
      <c r="E1006" s="571"/>
      <c r="F1006" s="569"/>
    </row>
    <row r="1007" spans="1:6" ht="20.25">
      <c r="A1007" s="570"/>
      <c r="B1007" s="568"/>
      <c r="C1007" s="568"/>
      <c r="D1007" s="568"/>
      <c r="E1007" s="571"/>
      <c r="F1007" s="569"/>
    </row>
    <row r="1008" spans="1:6" ht="20.25">
      <c r="A1008" s="570"/>
      <c r="B1008" s="568"/>
      <c r="C1008" s="568"/>
      <c r="D1008" s="568"/>
      <c r="E1008" s="571"/>
      <c r="F1008" s="569"/>
    </row>
    <row r="1009" spans="1:6" ht="20.25">
      <c r="A1009" s="570"/>
      <c r="B1009" s="568"/>
      <c r="C1009" s="568"/>
      <c r="D1009" s="568"/>
      <c r="E1009" s="571"/>
      <c r="F1009" s="569"/>
    </row>
    <row r="1010" spans="1:6" ht="20.25">
      <c r="A1010" s="570"/>
      <c r="B1010" s="568"/>
      <c r="C1010" s="568"/>
      <c r="D1010" s="568"/>
      <c r="E1010" s="571"/>
      <c r="F1010" s="569"/>
    </row>
    <row r="1011" spans="1:6" ht="20.25">
      <c r="A1011" s="570"/>
      <c r="B1011" s="568"/>
      <c r="C1011" s="568"/>
      <c r="D1011" s="568"/>
      <c r="E1011" s="571"/>
      <c r="F1011" s="569"/>
    </row>
    <row r="1012" spans="1:6" ht="20.25">
      <c r="A1012" s="570"/>
      <c r="B1012" s="568"/>
      <c r="C1012" s="568"/>
      <c r="D1012" s="568"/>
      <c r="E1012" s="571"/>
      <c r="F1012" s="569"/>
    </row>
    <row r="1013" spans="1:6" ht="20.25">
      <c r="A1013" s="570"/>
      <c r="B1013" s="568"/>
      <c r="C1013" s="568"/>
      <c r="D1013" s="568"/>
      <c r="E1013" s="571"/>
      <c r="F1013" s="569"/>
    </row>
    <row r="1014" spans="1:6" ht="20.25">
      <c r="A1014" s="570"/>
      <c r="B1014" s="568"/>
      <c r="C1014" s="568"/>
      <c r="D1014" s="568"/>
      <c r="E1014" s="571"/>
      <c r="F1014" s="569"/>
    </row>
    <row r="1015" spans="1:6" ht="20.25">
      <c r="A1015" s="570"/>
      <c r="B1015" s="568"/>
      <c r="C1015" s="568"/>
      <c r="D1015" s="568"/>
      <c r="E1015" s="571"/>
      <c r="F1015" s="569"/>
    </row>
    <row r="1016" spans="1:6" ht="20.25">
      <c r="A1016" s="570"/>
      <c r="B1016" s="568"/>
      <c r="C1016" s="568"/>
      <c r="D1016" s="568"/>
      <c r="E1016" s="571"/>
      <c r="F1016" s="569"/>
    </row>
    <row r="1017" spans="1:6" ht="20.25">
      <c r="A1017" s="570"/>
      <c r="B1017" s="568"/>
      <c r="C1017" s="568"/>
      <c r="D1017" s="568"/>
      <c r="E1017" s="571"/>
      <c r="F1017" s="569"/>
    </row>
    <row r="1018" spans="1:6" ht="20.25">
      <c r="A1018" s="570"/>
      <c r="B1018" s="568"/>
      <c r="C1018" s="568"/>
      <c r="D1018" s="568"/>
      <c r="E1018" s="571"/>
      <c r="F1018" s="569"/>
    </row>
    <row r="1019" spans="1:6" ht="20.25">
      <c r="A1019" s="570"/>
      <c r="B1019" s="568"/>
      <c r="C1019" s="568"/>
      <c r="D1019" s="568"/>
      <c r="E1019" s="571"/>
      <c r="F1019" s="569"/>
    </row>
    <row r="1020" spans="1:6" ht="20.25">
      <c r="A1020" s="570"/>
      <c r="B1020" s="568"/>
      <c r="C1020" s="568"/>
      <c r="D1020" s="568"/>
      <c r="E1020" s="571"/>
      <c r="F1020" s="569"/>
    </row>
    <row r="1021" spans="1:6" ht="20.25">
      <c r="A1021" s="570"/>
      <c r="B1021" s="568"/>
      <c r="C1021" s="568"/>
      <c r="D1021" s="568"/>
      <c r="E1021" s="571"/>
      <c r="F1021" s="569"/>
    </row>
    <row r="1022" spans="1:6" ht="20.25">
      <c r="A1022" s="570"/>
      <c r="B1022" s="568"/>
      <c r="C1022" s="568"/>
      <c r="D1022" s="568"/>
      <c r="E1022" s="571"/>
      <c r="F1022" s="569"/>
    </row>
    <row r="1023" spans="1:6" ht="20.25">
      <c r="A1023" s="570"/>
      <c r="B1023" s="568"/>
      <c r="C1023" s="568"/>
      <c r="D1023" s="568"/>
      <c r="E1023" s="571"/>
      <c r="F1023" s="569"/>
    </row>
    <row r="1024" spans="1:6" ht="20.25">
      <c r="A1024" s="570"/>
      <c r="B1024" s="568"/>
      <c r="C1024" s="568"/>
      <c r="D1024" s="568"/>
      <c r="E1024" s="571"/>
      <c r="F1024" s="569"/>
    </row>
    <row r="1025" spans="1:6" ht="20.25">
      <c r="A1025" s="570"/>
      <c r="B1025" s="568"/>
      <c r="C1025" s="568"/>
      <c r="D1025" s="568"/>
      <c r="E1025" s="571"/>
      <c r="F1025" s="569"/>
    </row>
    <row r="1026" spans="1:6" ht="20.25">
      <c r="A1026" s="570"/>
      <c r="B1026" s="568"/>
      <c r="C1026" s="568"/>
      <c r="D1026" s="568"/>
      <c r="E1026" s="571"/>
      <c r="F1026" s="569"/>
    </row>
    <row r="1027" spans="1:6" ht="20.25">
      <c r="A1027" s="570"/>
      <c r="B1027" s="568"/>
      <c r="C1027" s="568"/>
      <c r="D1027" s="568"/>
      <c r="E1027" s="571"/>
      <c r="F1027" s="569"/>
    </row>
    <row r="1028" spans="1:6" ht="20.25">
      <c r="A1028" s="570"/>
      <c r="B1028" s="568"/>
      <c r="C1028" s="568"/>
      <c r="D1028" s="568"/>
      <c r="E1028" s="571"/>
      <c r="F1028" s="569"/>
    </row>
    <row r="1029" spans="1:6" ht="20.25">
      <c r="A1029" s="570"/>
      <c r="B1029" s="568"/>
      <c r="C1029" s="568"/>
      <c r="D1029" s="568"/>
      <c r="E1029" s="571"/>
      <c r="F1029" s="569"/>
    </row>
    <row r="1030" spans="1:6" ht="20.25">
      <c r="A1030" s="570"/>
      <c r="B1030" s="568"/>
      <c r="C1030" s="568"/>
      <c r="D1030" s="568"/>
      <c r="E1030" s="571"/>
      <c r="F1030" s="569"/>
    </row>
    <row r="1031" spans="1:6" ht="20.25">
      <c r="A1031" s="570"/>
      <c r="B1031" s="568"/>
      <c r="C1031" s="568"/>
      <c r="D1031" s="568"/>
      <c r="E1031" s="571"/>
      <c r="F1031" s="569"/>
    </row>
    <row r="1032" spans="1:6" ht="20.25">
      <c r="A1032" s="570"/>
      <c r="B1032" s="568"/>
      <c r="C1032" s="568"/>
      <c r="D1032" s="568"/>
      <c r="E1032" s="571"/>
      <c r="F1032" s="569"/>
    </row>
    <row r="1033" spans="1:6" ht="20.25">
      <c r="A1033" s="570"/>
      <c r="B1033" s="568"/>
      <c r="C1033" s="568"/>
      <c r="D1033" s="568"/>
      <c r="E1033" s="571"/>
      <c r="F1033" s="569"/>
    </row>
    <row r="1034" spans="1:6" ht="20.25">
      <c r="A1034" s="570"/>
      <c r="B1034" s="568"/>
      <c r="C1034" s="568"/>
      <c r="D1034" s="568"/>
      <c r="E1034" s="571"/>
      <c r="F1034" s="569"/>
    </row>
    <row r="1035" spans="1:6" ht="20.25">
      <c r="A1035" s="570"/>
      <c r="B1035" s="568"/>
      <c r="C1035" s="568"/>
      <c r="D1035" s="568"/>
      <c r="E1035" s="571"/>
      <c r="F1035" s="569"/>
    </row>
    <row r="1036" spans="1:6" ht="20.25">
      <c r="A1036" s="570"/>
      <c r="B1036" s="568"/>
      <c r="C1036" s="568"/>
      <c r="D1036" s="568"/>
      <c r="E1036" s="571"/>
      <c r="F1036" s="569"/>
    </row>
    <row r="1037" spans="1:6" ht="20.25">
      <c r="A1037" s="570"/>
      <c r="B1037" s="568"/>
      <c r="C1037" s="568"/>
      <c r="D1037" s="568"/>
      <c r="E1037" s="571"/>
      <c r="F1037" s="569"/>
    </row>
    <row r="1038" spans="1:6" ht="20.25">
      <c r="A1038" s="570"/>
      <c r="B1038" s="568"/>
      <c r="C1038" s="568"/>
      <c r="D1038" s="568"/>
      <c r="E1038" s="571"/>
      <c r="F1038" s="569"/>
    </row>
    <row r="1039" spans="1:6" ht="20.25">
      <c r="A1039" s="570"/>
      <c r="B1039" s="568"/>
      <c r="C1039" s="568"/>
      <c r="D1039" s="568"/>
      <c r="E1039" s="571"/>
      <c r="F1039" s="569"/>
    </row>
    <row r="1040" spans="1:6" ht="20.25">
      <c r="A1040" s="570"/>
      <c r="B1040" s="568"/>
      <c r="C1040" s="568"/>
      <c r="D1040" s="568"/>
      <c r="E1040" s="571"/>
      <c r="F1040" s="569"/>
    </row>
    <row r="1041" spans="1:6" ht="20.25">
      <c r="A1041" s="570"/>
      <c r="B1041" s="568"/>
      <c r="C1041" s="568"/>
      <c r="D1041" s="568"/>
      <c r="E1041" s="571"/>
      <c r="F1041" s="569"/>
    </row>
    <row r="1042" spans="1:6" ht="20.25">
      <c r="A1042" s="570"/>
      <c r="B1042" s="568"/>
      <c r="C1042" s="568"/>
      <c r="D1042" s="568"/>
      <c r="E1042" s="571"/>
      <c r="F1042" s="569"/>
    </row>
    <row r="1043" spans="1:6" ht="20.25">
      <c r="A1043" s="570"/>
      <c r="B1043" s="568"/>
      <c r="C1043" s="568"/>
      <c r="D1043" s="568"/>
      <c r="E1043" s="571"/>
      <c r="F1043" s="569"/>
    </row>
    <row r="1044" spans="1:6" ht="20.25">
      <c r="A1044" s="570"/>
      <c r="B1044" s="568"/>
      <c r="C1044" s="568"/>
      <c r="D1044" s="568"/>
      <c r="E1044" s="571"/>
      <c r="F1044" s="569"/>
    </row>
    <row r="1045" spans="1:6" ht="20.25">
      <c r="A1045" s="570"/>
      <c r="B1045" s="568"/>
      <c r="C1045" s="568"/>
      <c r="D1045" s="568"/>
      <c r="E1045" s="571"/>
      <c r="F1045" s="569"/>
    </row>
    <row r="1046" spans="1:6" ht="20.25">
      <c r="A1046" s="570"/>
      <c r="B1046" s="568"/>
      <c r="C1046" s="568"/>
      <c r="D1046" s="568"/>
      <c r="E1046" s="571"/>
      <c r="F1046" s="569"/>
    </row>
    <row r="1047" spans="1:6" ht="20.25">
      <c r="A1047" s="570"/>
      <c r="B1047" s="568"/>
      <c r="C1047" s="568"/>
      <c r="D1047" s="568"/>
      <c r="E1047" s="571"/>
      <c r="F1047" s="569"/>
    </row>
    <row r="1048" spans="1:6" ht="20.25">
      <c r="A1048" s="570"/>
      <c r="B1048" s="568"/>
      <c r="C1048" s="568"/>
      <c r="D1048" s="568"/>
      <c r="E1048" s="571"/>
      <c r="F1048" s="569"/>
    </row>
    <row r="1049" spans="1:6" ht="20.25">
      <c r="A1049" s="570"/>
      <c r="B1049" s="568"/>
      <c r="C1049" s="568"/>
      <c r="D1049" s="568"/>
      <c r="E1049" s="571"/>
      <c r="F1049" s="569"/>
    </row>
    <row r="1050" spans="1:6" ht="20.25">
      <c r="A1050" s="570"/>
      <c r="B1050" s="568"/>
      <c r="C1050" s="568"/>
      <c r="D1050" s="568"/>
      <c r="E1050" s="571"/>
      <c r="F1050" s="569"/>
    </row>
    <row r="1051" spans="1:6" ht="20.25">
      <c r="A1051" s="570"/>
      <c r="B1051" s="568"/>
      <c r="C1051" s="568"/>
      <c r="D1051" s="568"/>
      <c r="E1051" s="571"/>
      <c r="F1051" s="569"/>
    </row>
    <row r="1052" spans="1:6" ht="20.25">
      <c r="A1052" s="570"/>
      <c r="B1052" s="568"/>
      <c r="C1052" s="568"/>
      <c r="D1052" s="568"/>
      <c r="E1052" s="571"/>
      <c r="F1052" s="569"/>
    </row>
    <row r="1053" spans="1:6" ht="20.25">
      <c r="A1053" s="570"/>
      <c r="B1053" s="568"/>
      <c r="C1053" s="568"/>
      <c r="D1053" s="568"/>
      <c r="E1053" s="571"/>
      <c r="F1053" s="569"/>
    </row>
    <row r="1054" spans="1:6" ht="20.25">
      <c r="A1054" s="570"/>
      <c r="B1054" s="568"/>
      <c r="C1054" s="568"/>
      <c r="D1054" s="568"/>
      <c r="E1054" s="571"/>
      <c r="F1054" s="569"/>
    </row>
    <row r="1055" spans="1:6" ht="20.25">
      <c r="A1055" s="570"/>
      <c r="B1055" s="568"/>
      <c r="C1055" s="568"/>
      <c r="D1055" s="568"/>
      <c r="E1055" s="571"/>
      <c r="F1055" s="569"/>
    </row>
    <row r="1056" spans="1:6" ht="20.25">
      <c r="A1056" s="570"/>
      <c r="B1056" s="568"/>
      <c r="C1056" s="568"/>
      <c r="D1056" s="568"/>
      <c r="E1056" s="571"/>
      <c r="F1056" s="569"/>
    </row>
    <row r="1057" spans="1:6" ht="20.25">
      <c r="A1057" s="570"/>
      <c r="B1057" s="568"/>
      <c r="C1057" s="568"/>
      <c r="D1057" s="568"/>
      <c r="E1057" s="571"/>
      <c r="F1057" s="569"/>
    </row>
    <row r="1058" spans="1:6" ht="20.25">
      <c r="A1058" s="570"/>
      <c r="B1058" s="568"/>
      <c r="C1058" s="568"/>
      <c r="D1058" s="568"/>
      <c r="E1058" s="571"/>
      <c r="F1058" s="569"/>
    </row>
    <row r="1059" spans="1:6" ht="20.25">
      <c r="A1059" s="570"/>
      <c r="B1059" s="568"/>
      <c r="C1059" s="568"/>
      <c r="D1059" s="568"/>
      <c r="E1059" s="571"/>
      <c r="F1059" s="569"/>
    </row>
    <row r="1060" spans="1:6" ht="20.25">
      <c r="A1060" s="570"/>
      <c r="B1060" s="568"/>
      <c r="C1060" s="568"/>
      <c r="D1060" s="568"/>
      <c r="E1060" s="571"/>
      <c r="F1060" s="569"/>
    </row>
    <row r="1061" spans="1:6" ht="20.25">
      <c r="A1061" s="570"/>
      <c r="B1061" s="568"/>
      <c r="C1061" s="568"/>
      <c r="D1061" s="568"/>
      <c r="E1061" s="571"/>
      <c r="F1061" s="569"/>
    </row>
    <row r="1062" spans="1:6" ht="20.25">
      <c r="A1062" s="570"/>
      <c r="B1062" s="568"/>
      <c r="C1062" s="568"/>
      <c r="D1062" s="568"/>
      <c r="E1062" s="571"/>
      <c r="F1062" s="569"/>
    </row>
    <row r="1063" spans="1:6" ht="20.25">
      <c r="A1063" s="570"/>
      <c r="B1063" s="568"/>
      <c r="C1063" s="568"/>
      <c r="D1063" s="568"/>
      <c r="E1063" s="571"/>
      <c r="F1063" s="569"/>
    </row>
    <row r="1064" spans="1:6" ht="20.25">
      <c r="A1064" s="570"/>
      <c r="B1064" s="568"/>
      <c r="C1064" s="568"/>
      <c r="D1064" s="568"/>
      <c r="E1064" s="571"/>
      <c r="F1064" s="569"/>
    </row>
    <row r="1065" spans="1:6" ht="20.25">
      <c r="A1065" s="570"/>
      <c r="B1065" s="568"/>
      <c r="C1065" s="568"/>
      <c r="D1065" s="568"/>
      <c r="E1065" s="571"/>
      <c r="F1065" s="569"/>
    </row>
    <row r="1066" spans="1:6" ht="20.25">
      <c r="A1066" s="570"/>
      <c r="B1066" s="568"/>
      <c r="C1066" s="568"/>
      <c r="D1066" s="568"/>
      <c r="E1066" s="571"/>
      <c r="F1066" s="569"/>
    </row>
    <row r="1067" spans="1:6" ht="20.25">
      <c r="A1067" s="570"/>
      <c r="B1067" s="568"/>
      <c r="C1067" s="568"/>
      <c r="D1067" s="568"/>
      <c r="E1067" s="571"/>
      <c r="F1067" s="569"/>
    </row>
    <row r="1068" spans="1:6" ht="20.25">
      <c r="A1068" s="570"/>
      <c r="B1068" s="568"/>
      <c r="C1068" s="568"/>
      <c r="D1068" s="568"/>
      <c r="E1068" s="571"/>
      <c r="F1068" s="569"/>
    </row>
    <row r="1069" spans="1:6" ht="20.25">
      <c r="A1069" s="570"/>
      <c r="B1069" s="568"/>
      <c r="C1069" s="568"/>
      <c r="D1069" s="568"/>
      <c r="E1069" s="571"/>
      <c r="F1069" s="569"/>
    </row>
    <row r="1070" spans="1:6" ht="20.25">
      <c r="A1070" s="570"/>
      <c r="B1070" s="568"/>
      <c r="C1070" s="568"/>
      <c r="D1070" s="568"/>
      <c r="E1070" s="571"/>
      <c r="F1070" s="569"/>
    </row>
    <row r="1071" spans="1:6" ht="20.25">
      <c r="A1071" s="570"/>
      <c r="B1071" s="568"/>
      <c r="C1071" s="568"/>
      <c r="D1071" s="568"/>
      <c r="E1071" s="571"/>
      <c r="F1071" s="569"/>
    </row>
    <row r="1072" spans="1:6" ht="20.25">
      <c r="A1072" s="570"/>
      <c r="B1072" s="568"/>
      <c r="C1072" s="568"/>
      <c r="D1072" s="568"/>
      <c r="E1072" s="571"/>
      <c r="F1072" s="569"/>
    </row>
    <row r="1073" spans="1:6" ht="20.25">
      <c r="A1073" s="570"/>
      <c r="B1073" s="568"/>
      <c r="C1073" s="568"/>
      <c r="D1073" s="568"/>
      <c r="E1073" s="571"/>
      <c r="F1073" s="569"/>
    </row>
    <row r="1074" spans="1:6" ht="20.25">
      <c r="A1074" s="570"/>
      <c r="B1074" s="568"/>
      <c r="C1074" s="568"/>
      <c r="D1074" s="568"/>
      <c r="E1074" s="571"/>
      <c r="F1074" s="569"/>
    </row>
    <row r="1075" spans="1:6" ht="20.25">
      <c r="A1075" s="570"/>
      <c r="B1075" s="568"/>
      <c r="C1075" s="568"/>
      <c r="D1075" s="568"/>
      <c r="E1075" s="571"/>
      <c r="F1075" s="569"/>
    </row>
    <row r="1076" spans="1:6" ht="20.25">
      <c r="A1076" s="570"/>
      <c r="B1076" s="568"/>
      <c r="C1076" s="568"/>
      <c r="D1076" s="568"/>
      <c r="E1076" s="571"/>
      <c r="F1076" s="569"/>
    </row>
    <row r="1077" spans="1:6" ht="20.25">
      <c r="A1077" s="570"/>
      <c r="B1077" s="568"/>
      <c r="C1077" s="568"/>
      <c r="D1077" s="568"/>
      <c r="E1077" s="571"/>
      <c r="F1077" s="569"/>
    </row>
    <row r="1078" spans="1:6" ht="20.25">
      <c r="A1078" s="570"/>
      <c r="B1078" s="568"/>
      <c r="C1078" s="568"/>
      <c r="D1078" s="568"/>
      <c r="E1078" s="571"/>
      <c r="F1078" s="569"/>
    </row>
    <row r="1079" spans="1:6" ht="20.25">
      <c r="A1079" s="570"/>
      <c r="B1079" s="568"/>
      <c r="C1079" s="568"/>
      <c r="D1079" s="568"/>
      <c r="E1079" s="571"/>
      <c r="F1079" s="569"/>
    </row>
    <row r="1080" spans="1:6" ht="20.25">
      <c r="A1080" s="570"/>
      <c r="B1080" s="568"/>
      <c r="C1080" s="568"/>
      <c r="D1080" s="568"/>
      <c r="E1080" s="571"/>
      <c r="F1080" s="569"/>
    </row>
    <row r="1081" spans="1:6" ht="20.25">
      <c r="A1081" s="570"/>
      <c r="B1081" s="568"/>
      <c r="C1081" s="568"/>
      <c r="D1081" s="568"/>
      <c r="E1081" s="571"/>
      <c r="F1081" s="569"/>
    </row>
    <row r="1082" spans="1:6" ht="20.25">
      <c r="A1082" s="570"/>
      <c r="B1082" s="568"/>
      <c r="C1082" s="568"/>
      <c r="D1082" s="568"/>
      <c r="E1082" s="571"/>
      <c r="F1082" s="569"/>
    </row>
    <row r="1083" spans="1:6" ht="20.25">
      <c r="A1083" s="570"/>
      <c r="B1083" s="568"/>
      <c r="C1083" s="568"/>
      <c r="D1083" s="568"/>
      <c r="E1083" s="571"/>
      <c r="F1083" s="569"/>
    </row>
    <row r="1084" spans="1:6" ht="20.25">
      <c r="A1084" s="570"/>
      <c r="B1084" s="568"/>
      <c r="C1084" s="568"/>
      <c r="D1084" s="568"/>
      <c r="E1084" s="571"/>
      <c r="F1084" s="569"/>
    </row>
    <row r="1085" spans="1:6" ht="20.25">
      <c r="A1085" s="570"/>
      <c r="B1085" s="568"/>
      <c r="C1085" s="568"/>
      <c r="D1085" s="568"/>
      <c r="E1085" s="571"/>
      <c r="F1085" s="569"/>
    </row>
    <row r="1086" spans="1:6" ht="20.25">
      <c r="A1086" s="570"/>
      <c r="B1086" s="568"/>
      <c r="C1086" s="568"/>
      <c r="D1086" s="568"/>
      <c r="E1086" s="571"/>
      <c r="F1086" s="569"/>
    </row>
    <row r="1087" spans="1:6" ht="20.25">
      <c r="A1087" s="570"/>
      <c r="B1087" s="568"/>
      <c r="C1087" s="568"/>
      <c r="D1087" s="568"/>
      <c r="E1087" s="571"/>
      <c r="F1087" s="569"/>
    </row>
    <row r="1088" spans="1:6" ht="20.25">
      <c r="A1088" s="570"/>
      <c r="B1088" s="568"/>
      <c r="C1088" s="568"/>
      <c r="D1088" s="568"/>
      <c r="E1088" s="571"/>
      <c r="F1088" s="569"/>
    </row>
    <row r="1089" spans="1:6" ht="20.25">
      <c r="A1089" s="570"/>
      <c r="B1089" s="568"/>
      <c r="C1089" s="568"/>
      <c r="D1089" s="568"/>
      <c r="E1089" s="571"/>
      <c r="F1089" s="569"/>
    </row>
    <row r="1090" spans="1:6" ht="20.25">
      <c r="A1090" s="570"/>
      <c r="B1090" s="568"/>
      <c r="C1090" s="568"/>
      <c r="D1090" s="568"/>
      <c r="E1090" s="571"/>
      <c r="F1090" s="569"/>
    </row>
    <row r="1091" spans="1:6" ht="20.25">
      <c r="A1091" s="570"/>
      <c r="B1091" s="568"/>
      <c r="C1091" s="568"/>
      <c r="D1091" s="568"/>
      <c r="E1091" s="571"/>
      <c r="F1091" s="569"/>
    </row>
    <row r="1092" spans="1:6" ht="20.25">
      <c r="A1092" s="570"/>
      <c r="B1092" s="568"/>
      <c r="C1092" s="568"/>
      <c r="D1092" s="568"/>
      <c r="E1092" s="571"/>
      <c r="F1092" s="569"/>
    </row>
    <row r="1093" spans="1:6" ht="20.25">
      <c r="A1093" s="570"/>
      <c r="B1093" s="568"/>
      <c r="C1093" s="568"/>
      <c r="D1093" s="568"/>
      <c r="E1093" s="571"/>
      <c r="F1093" s="569"/>
    </row>
    <row r="1094" spans="1:6" ht="20.25">
      <c r="A1094" s="570"/>
      <c r="B1094" s="568"/>
      <c r="C1094" s="568"/>
      <c r="D1094" s="568"/>
      <c r="E1094" s="571"/>
      <c r="F1094" s="569"/>
    </row>
    <row r="1095" spans="1:6" ht="20.25">
      <c r="A1095" s="570"/>
      <c r="B1095" s="568"/>
      <c r="C1095" s="568"/>
      <c r="D1095" s="568"/>
      <c r="E1095" s="571"/>
      <c r="F1095" s="569"/>
    </row>
    <row r="1096" spans="1:6" ht="20.25">
      <c r="A1096" s="570"/>
      <c r="B1096" s="568"/>
      <c r="C1096" s="568"/>
      <c r="D1096" s="568"/>
      <c r="E1096" s="571"/>
      <c r="F1096" s="569"/>
    </row>
    <row r="1097" spans="1:6" ht="20.25">
      <c r="A1097" s="570"/>
      <c r="B1097" s="568"/>
      <c r="C1097" s="568"/>
      <c r="D1097" s="568"/>
      <c r="E1097" s="571"/>
      <c r="F1097" s="569"/>
    </row>
    <row r="1098" spans="1:6" ht="20.25">
      <c r="A1098" s="570"/>
      <c r="B1098" s="568"/>
      <c r="C1098" s="568"/>
      <c r="D1098" s="568"/>
      <c r="E1098" s="571"/>
      <c r="F1098" s="569"/>
    </row>
    <row r="1099" spans="1:6" ht="20.25">
      <c r="A1099" s="570"/>
      <c r="B1099" s="568"/>
      <c r="C1099" s="568"/>
      <c r="D1099" s="568"/>
      <c r="E1099" s="571"/>
      <c r="F1099" s="569"/>
    </row>
    <row r="1100" spans="1:6" ht="20.25">
      <c r="A1100" s="570"/>
      <c r="B1100" s="568"/>
      <c r="C1100" s="568"/>
      <c r="D1100" s="568"/>
      <c r="E1100" s="571"/>
      <c r="F1100" s="569"/>
    </row>
    <row r="1101" spans="1:6" ht="20.25">
      <c r="A1101" s="570"/>
      <c r="B1101" s="568"/>
      <c r="C1101" s="568"/>
      <c r="D1101" s="568"/>
      <c r="E1101" s="571"/>
      <c r="F1101" s="569"/>
    </row>
    <row r="1102" spans="1:6" ht="20.25">
      <c r="A1102" s="570"/>
      <c r="B1102" s="568"/>
      <c r="C1102" s="568"/>
      <c r="D1102" s="568"/>
      <c r="E1102" s="571"/>
      <c r="F1102" s="569"/>
    </row>
    <row r="1103" spans="1:6" ht="20.25">
      <c r="A1103" s="570"/>
      <c r="B1103" s="568"/>
      <c r="C1103" s="568"/>
      <c r="D1103" s="568"/>
      <c r="E1103" s="571"/>
      <c r="F1103" s="569"/>
    </row>
    <row r="1104" spans="1:6" ht="20.25">
      <c r="A1104" s="570"/>
      <c r="B1104" s="568"/>
      <c r="C1104" s="568"/>
      <c r="D1104" s="568"/>
      <c r="E1104" s="571"/>
      <c r="F1104" s="569"/>
    </row>
    <row r="1105" spans="1:6" ht="20.25">
      <c r="A1105" s="570"/>
      <c r="B1105" s="568"/>
      <c r="C1105" s="568"/>
      <c r="D1105" s="568"/>
      <c r="E1105" s="571"/>
      <c r="F1105" s="569"/>
    </row>
    <row r="1106" spans="1:6" ht="20.25">
      <c r="A1106" s="570"/>
      <c r="B1106" s="568"/>
      <c r="C1106" s="568"/>
      <c r="D1106" s="568"/>
      <c r="E1106" s="571"/>
      <c r="F1106" s="569"/>
    </row>
    <row r="1107" spans="1:6" ht="20.25">
      <c r="A1107" s="570"/>
      <c r="B1107" s="568"/>
      <c r="C1107" s="568"/>
      <c r="D1107" s="568"/>
      <c r="E1107" s="571"/>
      <c r="F1107" s="569"/>
    </row>
    <row r="1108" spans="1:6" ht="20.25">
      <c r="A1108" s="570"/>
      <c r="B1108" s="568"/>
      <c r="C1108" s="568"/>
      <c r="D1108" s="568"/>
      <c r="E1108" s="571"/>
      <c r="F1108" s="569"/>
    </row>
    <row r="1109" spans="1:6" ht="20.25">
      <c r="A1109" s="570"/>
      <c r="B1109" s="568"/>
      <c r="C1109" s="568"/>
      <c r="D1109" s="568"/>
      <c r="E1109" s="571"/>
      <c r="F1109" s="569"/>
    </row>
    <row r="1110" spans="1:6" ht="20.25">
      <c r="A1110" s="570"/>
      <c r="B1110" s="568"/>
      <c r="C1110" s="568"/>
      <c r="D1110" s="568"/>
      <c r="E1110" s="571"/>
      <c r="F1110" s="569"/>
    </row>
    <row r="1111" spans="1:6" ht="20.25">
      <c r="A1111" s="570"/>
      <c r="B1111" s="568"/>
      <c r="C1111" s="568"/>
      <c r="D1111" s="568"/>
      <c r="E1111" s="571"/>
      <c r="F1111" s="569"/>
    </row>
    <row r="1112" spans="1:6" ht="20.25">
      <c r="A1112" s="570"/>
      <c r="B1112" s="568"/>
      <c r="C1112" s="568"/>
      <c r="D1112" s="568"/>
      <c r="E1112" s="571"/>
      <c r="F1112" s="569"/>
    </row>
    <row r="1113" spans="1:6" ht="20.25">
      <c r="A1113" s="570"/>
      <c r="B1113" s="568"/>
      <c r="C1113" s="568"/>
      <c r="D1113" s="568"/>
      <c r="E1113" s="571"/>
      <c r="F1113" s="569"/>
    </row>
    <row r="1114" spans="1:6" ht="20.25">
      <c r="A1114" s="570"/>
      <c r="B1114" s="568"/>
      <c r="C1114" s="568"/>
      <c r="D1114" s="568"/>
      <c r="E1114" s="571"/>
      <c r="F1114" s="569"/>
    </row>
    <row r="1115" spans="1:6" ht="20.25">
      <c r="A1115" s="570"/>
      <c r="B1115" s="568"/>
      <c r="C1115" s="568"/>
      <c r="D1115" s="568"/>
      <c r="E1115" s="571"/>
      <c r="F1115" s="569"/>
    </row>
    <row r="1116" spans="1:6" ht="20.25">
      <c r="A1116" s="570"/>
      <c r="B1116" s="568"/>
      <c r="C1116" s="568"/>
      <c r="D1116" s="568"/>
      <c r="E1116" s="571"/>
      <c r="F1116" s="569"/>
    </row>
    <row r="1117" spans="1:6" ht="20.25">
      <c r="A1117" s="570"/>
      <c r="B1117" s="568"/>
      <c r="C1117" s="568"/>
      <c r="D1117" s="568"/>
      <c r="E1117" s="571"/>
      <c r="F1117" s="569"/>
    </row>
    <row r="1118" spans="1:6" ht="20.25">
      <c r="A1118" s="570"/>
      <c r="B1118" s="568"/>
      <c r="C1118" s="568"/>
      <c r="D1118" s="568"/>
      <c r="E1118" s="571"/>
      <c r="F1118" s="569"/>
    </row>
    <row r="1119" spans="1:6" ht="20.25">
      <c r="A1119" s="570"/>
      <c r="B1119" s="568"/>
      <c r="C1119" s="568"/>
      <c r="D1119" s="568"/>
      <c r="E1119" s="571"/>
      <c r="F1119" s="569"/>
    </row>
    <row r="1120" spans="1:6" ht="20.25">
      <c r="A1120" s="570"/>
      <c r="B1120" s="568"/>
      <c r="C1120" s="568"/>
      <c r="D1120" s="568"/>
      <c r="E1120" s="571"/>
      <c r="F1120" s="569"/>
    </row>
    <row r="1121" spans="1:6" ht="20.25">
      <c r="A1121" s="570"/>
      <c r="B1121" s="568"/>
      <c r="C1121" s="568"/>
      <c r="D1121" s="568"/>
      <c r="E1121" s="571"/>
      <c r="F1121" s="569"/>
    </row>
    <row r="1122" spans="1:6" ht="20.25">
      <c r="A1122" s="570"/>
      <c r="B1122" s="568"/>
      <c r="C1122" s="568"/>
      <c r="D1122" s="568"/>
      <c r="E1122" s="571"/>
      <c r="F1122" s="569"/>
    </row>
    <row r="1123" spans="1:6" ht="20.25">
      <c r="A1123" s="570"/>
      <c r="B1123" s="568"/>
      <c r="C1123" s="568"/>
      <c r="D1123" s="568"/>
      <c r="E1123" s="571"/>
      <c r="F1123" s="569"/>
    </row>
    <row r="1124" spans="1:6" ht="20.25">
      <c r="A1124" s="570"/>
      <c r="B1124" s="568"/>
      <c r="C1124" s="568"/>
      <c r="D1124" s="568"/>
      <c r="E1124" s="571"/>
      <c r="F1124" s="569"/>
    </row>
    <row r="1125" spans="1:6" ht="20.25">
      <c r="A1125" s="570"/>
      <c r="B1125" s="568"/>
      <c r="C1125" s="568"/>
      <c r="D1125" s="568"/>
      <c r="E1125" s="571"/>
      <c r="F1125" s="569"/>
    </row>
    <row r="1126" spans="1:6" ht="20.25">
      <c r="A1126" s="570"/>
      <c r="B1126" s="568"/>
      <c r="C1126" s="568"/>
      <c r="D1126" s="568"/>
      <c r="E1126" s="571"/>
      <c r="F1126" s="569"/>
    </row>
    <row r="1127" spans="1:6" ht="20.25">
      <c r="A1127" s="570"/>
      <c r="B1127" s="568"/>
      <c r="C1127" s="568"/>
      <c r="D1127" s="568"/>
      <c r="E1127" s="571"/>
      <c r="F1127" s="569"/>
    </row>
    <row r="1128" spans="1:6" ht="20.25">
      <c r="A1128" s="570"/>
      <c r="B1128" s="568"/>
      <c r="C1128" s="568"/>
      <c r="D1128" s="568"/>
      <c r="E1128" s="571"/>
      <c r="F1128" s="569"/>
    </row>
    <row r="1129" spans="1:6" ht="20.25">
      <c r="A1129" s="570"/>
      <c r="B1129" s="568"/>
      <c r="C1129" s="568"/>
      <c r="D1129" s="568"/>
      <c r="E1129" s="571"/>
      <c r="F1129" s="569"/>
    </row>
    <row r="1130" spans="1:6" ht="20.25">
      <c r="A1130" s="570"/>
      <c r="B1130" s="568"/>
      <c r="C1130" s="568"/>
      <c r="D1130" s="568"/>
      <c r="E1130" s="571"/>
      <c r="F1130" s="569"/>
    </row>
    <row r="1131" spans="1:6" ht="20.25">
      <c r="A1131" s="570"/>
      <c r="B1131" s="568"/>
      <c r="C1131" s="568"/>
      <c r="D1131" s="568"/>
      <c r="E1131" s="571"/>
      <c r="F1131" s="569"/>
    </row>
    <row r="1132" spans="1:6" ht="20.25">
      <c r="A1132" s="570"/>
      <c r="B1132" s="568"/>
      <c r="C1132" s="568"/>
      <c r="D1132" s="568"/>
      <c r="E1132" s="571"/>
      <c r="F1132" s="569"/>
    </row>
    <row r="1133" spans="1:6" ht="20.25">
      <c r="A1133" s="570"/>
      <c r="B1133" s="568"/>
      <c r="C1133" s="568"/>
      <c r="D1133" s="568"/>
      <c r="E1133" s="571"/>
      <c r="F1133" s="569"/>
    </row>
    <row r="1134" spans="1:6" ht="20.25">
      <c r="A1134" s="570"/>
      <c r="B1134" s="568"/>
      <c r="C1134" s="568"/>
      <c r="D1134" s="568"/>
      <c r="E1134" s="571"/>
      <c r="F1134" s="569"/>
    </row>
    <row r="1135" spans="1:6" ht="20.25">
      <c r="A1135" s="570"/>
      <c r="B1135" s="568"/>
      <c r="C1135" s="568"/>
      <c r="D1135" s="568"/>
      <c r="E1135" s="571"/>
      <c r="F1135" s="569"/>
    </row>
    <row r="1136" spans="1:6" ht="20.25">
      <c r="A1136" s="570"/>
      <c r="B1136" s="568"/>
      <c r="C1136" s="568"/>
      <c r="D1136" s="568"/>
      <c r="E1136" s="571"/>
      <c r="F1136" s="569"/>
    </row>
    <row r="1137" spans="1:6" ht="20.25">
      <c r="A1137" s="570"/>
      <c r="B1137" s="568"/>
      <c r="C1137" s="568"/>
      <c r="D1137" s="568"/>
      <c r="E1137" s="571"/>
      <c r="F1137" s="569"/>
    </row>
    <row r="1138" spans="1:6" ht="20.25">
      <c r="A1138" s="570"/>
      <c r="B1138" s="568"/>
      <c r="C1138" s="568"/>
      <c r="D1138" s="568"/>
      <c r="E1138" s="571"/>
      <c r="F1138" s="569"/>
    </row>
    <row r="1139" spans="1:6" ht="20.25">
      <c r="A1139" s="570"/>
      <c r="B1139" s="568"/>
      <c r="C1139" s="568"/>
      <c r="D1139" s="568"/>
      <c r="E1139" s="571"/>
      <c r="F1139" s="569"/>
    </row>
    <row r="1140" spans="1:6" ht="20.25">
      <c r="A1140" s="570"/>
      <c r="B1140" s="568"/>
      <c r="C1140" s="568"/>
      <c r="D1140" s="568"/>
      <c r="E1140" s="571"/>
      <c r="F1140" s="569"/>
    </row>
    <row r="1141" spans="1:6" ht="20.25">
      <c r="A1141" s="570"/>
      <c r="B1141" s="568"/>
      <c r="C1141" s="568"/>
      <c r="D1141" s="568"/>
      <c r="E1141" s="571"/>
      <c r="F1141" s="569"/>
    </row>
    <row r="1142" spans="1:6" ht="20.25">
      <c r="A1142" s="570"/>
      <c r="B1142" s="568"/>
      <c r="C1142" s="568"/>
      <c r="D1142" s="568"/>
      <c r="E1142" s="571"/>
      <c r="F1142" s="569"/>
    </row>
    <row r="1143" spans="1:6" ht="20.25">
      <c r="A1143" s="570"/>
      <c r="B1143" s="568"/>
      <c r="C1143" s="568"/>
      <c r="D1143" s="568"/>
      <c r="E1143" s="571"/>
      <c r="F1143" s="569"/>
    </row>
    <row r="1144" spans="1:6" ht="20.25">
      <c r="A1144" s="570"/>
      <c r="B1144" s="568"/>
      <c r="C1144" s="568"/>
      <c r="D1144" s="568"/>
      <c r="E1144" s="571"/>
      <c r="F1144" s="569"/>
    </row>
    <row r="1145" spans="1:6" ht="20.25">
      <c r="A1145" s="570"/>
      <c r="B1145" s="568"/>
      <c r="C1145" s="568"/>
      <c r="D1145" s="568"/>
      <c r="E1145" s="571"/>
      <c r="F1145" s="569"/>
    </row>
    <row r="1146" spans="1:6" ht="20.25">
      <c r="A1146" s="570"/>
      <c r="B1146" s="568"/>
      <c r="C1146" s="568"/>
      <c r="D1146" s="568"/>
      <c r="E1146" s="571"/>
      <c r="F1146" s="569"/>
    </row>
    <row r="1147" spans="1:6" ht="20.25">
      <c r="A1147" s="570"/>
      <c r="B1147" s="568"/>
      <c r="C1147" s="568"/>
      <c r="D1147" s="568"/>
      <c r="E1147" s="571"/>
      <c r="F1147" s="569"/>
    </row>
    <row r="1148" spans="1:6" ht="20.25">
      <c r="A1148" s="570"/>
      <c r="B1148" s="568"/>
      <c r="C1148" s="568"/>
      <c r="D1148" s="568"/>
      <c r="E1148" s="571"/>
      <c r="F1148" s="569"/>
    </row>
    <row r="1149" spans="1:6" ht="20.25">
      <c r="A1149" s="570"/>
      <c r="B1149" s="568"/>
      <c r="C1149" s="568"/>
      <c r="D1149" s="568"/>
      <c r="E1149" s="571"/>
      <c r="F1149" s="569"/>
    </row>
    <row r="1150" spans="1:6" ht="20.25">
      <c r="A1150" s="570"/>
      <c r="B1150" s="568"/>
      <c r="C1150" s="568"/>
      <c r="D1150" s="568"/>
      <c r="E1150" s="571"/>
      <c r="F1150" s="569"/>
    </row>
    <row r="1151" spans="1:6" ht="20.25">
      <c r="A1151" s="570"/>
      <c r="B1151" s="568"/>
      <c r="C1151" s="568"/>
      <c r="D1151" s="568"/>
      <c r="E1151" s="571"/>
      <c r="F1151" s="569"/>
    </row>
    <row r="1152" spans="1:6" ht="20.25">
      <c r="A1152" s="570"/>
      <c r="B1152" s="568"/>
      <c r="C1152" s="568"/>
      <c r="D1152" s="568"/>
      <c r="E1152" s="571"/>
      <c r="F1152" s="569"/>
    </row>
    <row r="1153" spans="1:6" ht="20.25">
      <c r="A1153" s="570"/>
      <c r="B1153" s="568"/>
      <c r="C1153" s="568"/>
      <c r="D1153" s="568"/>
      <c r="E1153" s="571"/>
      <c r="F1153" s="569"/>
    </row>
    <row r="1154" spans="1:6" ht="20.25">
      <c r="A1154" s="570"/>
      <c r="B1154" s="568"/>
      <c r="C1154" s="568"/>
      <c r="D1154" s="568"/>
      <c r="E1154" s="571"/>
      <c r="F1154" s="569"/>
    </row>
    <row r="1155" spans="1:6" ht="20.25">
      <c r="A1155" s="570"/>
      <c r="B1155" s="568"/>
      <c r="C1155" s="568"/>
      <c r="D1155" s="568"/>
      <c r="E1155" s="571"/>
      <c r="F1155" s="569"/>
    </row>
    <row r="1156" spans="1:6" ht="20.25">
      <c r="A1156" s="570"/>
      <c r="B1156" s="568"/>
      <c r="C1156" s="568"/>
      <c r="D1156" s="568"/>
      <c r="E1156" s="571"/>
      <c r="F1156" s="569"/>
    </row>
    <row r="1157" spans="1:6" ht="20.25">
      <c r="A1157" s="570"/>
      <c r="B1157" s="568"/>
      <c r="C1157" s="568"/>
      <c r="D1157" s="568"/>
      <c r="E1157" s="571"/>
      <c r="F1157" s="569"/>
    </row>
    <row r="1158" spans="1:6" ht="20.25">
      <c r="A1158" s="570"/>
      <c r="B1158" s="568"/>
      <c r="C1158" s="568"/>
      <c r="D1158" s="568"/>
      <c r="E1158" s="571"/>
      <c r="F1158" s="569"/>
    </row>
    <row r="1159" spans="1:6" ht="20.25">
      <c r="A1159" s="570"/>
      <c r="B1159" s="568"/>
      <c r="C1159" s="568"/>
      <c r="D1159" s="568"/>
      <c r="E1159" s="571"/>
      <c r="F1159" s="569"/>
    </row>
    <row r="1160" spans="1:6" ht="20.25">
      <c r="A1160" s="570"/>
      <c r="B1160" s="568"/>
      <c r="C1160" s="568"/>
      <c r="D1160" s="568"/>
      <c r="E1160" s="571"/>
      <c r="F1160" s="569"/>
    </row>
    <row r="1161" spans="1:6" ht="20.25">
      <c r="A1161" s="570"/>
      <c r="B1161" s="568"/>
      <c r="C1161" s="568"/>
      <c r="D1161" s="568"/>
      <c r="E1161" s="571"/>
      <c r="F1161" s="569"/>
    </row>
    <row r="1162" spans="1:6" ht="20.25">
      <c r="A1162" s="570"/>
      <c r="B1162" s="568"/>
      <c r="C1162" s="568"/>
      <c r="D1162" s="568"/>
      <c r="E1162" s="571"/>
      <c r="F1162" s="569"/>
    </row>
    <row r="1163" spans="1:6" ht="20.25">
      <c r="A1163" s="570"/>
      <c r="B1163" s="568"/>
      <c r="C1163" s="568"/>
      <c r="D1163" s="568"/>
      <c r="E1163" s="571"/>
      <c r="F1163" s="569"/>
    </row>
    <row r="1164" spans="1:6" ht="20.25">
      <c r="A1164" s="570"/>
      <c r="B1164" s="568"/>
      <c r="C1164" s="568"/>
      <c r="D1164" s="568"/>
      <c r="E1164" s="571"/>
      <c r="F1164" s="569"/>
    </row>
    <row r="1165" spans="1:6" ht="20.25">
      <c r="A1165" s="570"/>
      <c r="B1165" s="568"/>
      <c r="C1165" s="568"/>
      <c r="D1165" s="568"/>
      <c r="E1165" s="571"/>
      <c r="F1165" s="569"/>
    </row>
    <row r="1166" spans="1:6" ht="20.25">
      <c r="A1166" s="570"/>
      <c r="B1166" s="568"/>
      <c r="C1166" s="568"/>
      <c r="D1166" s="568"/>
      <c r="E1166" s="571"/>
      <c r="F1166" s="569"/>
    </row>
    <row r="1167" spans="1:6" ht="20.25">
      <c r="A1167" s="570"/>
      <c r="B1167" s="568"/>
      <c r="C1167" s="568"/>
      <c r="D1167" s="568"/>
      <c r="E1167" s="571"/>
      <c r="F1167" s="569"/>
    </row>
    <row r="1168" spans="1:6" ht="20.25">
      <c r="A1168" s="570"/>
      <c r="B1168" s="568"/>
      <c r="C1168" s="568"/>
      <c r="D1168" s="568"/>
      <c r="E1168" s="571"/>
      <c r="F1168" s="569"/>
    </row>
    <row r="1169" spans="1:6" ht="20.25">
      <c r="A1169" s="570"/>
      <c r="B1169" s="568"/>
      <c r="C1169" s="568"/>
      <c r="D1169" s="568"/>
      <c r="E1169" s="571"/>
      <c r="F1169" s="569"/>
    </row>
    <row r="1170" spans="1:6" ht="20.25">
      <c r="A1170" s="570"/>
      <c r="B1170" s="568"/>
      <c r="C1170" s="568"/>
      <c r="D1170" s="568"/>
      <c r="E1170" s="571"/>
      <c r="F1170" s="569"/>
    </row>
    <row r="1171" spans="1:6" ht="20.25">
      <c r="A1171" s="570"/>
      <c r="B1171" s="568"/>
      <c r="C1171" s="568"/>
      <c r="D1171" s="568"/>
      <c r="E1171" s="571"/>
      <c r="F1171" s="569"/>
    </row>
    <row r="1172" spans="1:6" ht="20.25">
      <c r="A1172" s="570"/>
      <c r="B1172" s="568"/>
      <c r="C1172" s="568"/>
      <c r="D1172" s="568"/>
      <c r="E1172" s="571"/>
      <c r="F1172" s="569"/>
    </row>
    <row r="1173" spans="1:6" ht="20.25">
      <c r="A1173" s="570"/>
      <c r="B1173" s="568"/>
      <c r="C1173" s="568"/>
      <c r="D1173" s="568"/>
      <c r="E1173" s="571"/>
      <c r="F1173" s="569"/>
    </row>
    <row r="1174" spans="1:6" ht="20.25">
      <c r="A1174" s="570"/>
      <c r="B1174" s="568"/>
      <c r="C1174" s="568"/>
      <c r="D1174" s="568"/>
      <c r="E1174" s="571"/>
      <c r="F1174" s="569"/>
    </row>
    <row r="1175" spans="1:6" ht="20.25">
      <c r="A1175" s="570"/>
      <c r="B1175" s="568"/>
      <c r="C1175" s="568"/>
      <c r="D1175" s="568"/>
      <c r="E1175" s="571"/>
      <c r="F1175" s="569"/>
    </row>
    <row r="1176" spans="1:6" ht="20.25">
      <c r="A1176" s="570"/>
      <c r="B1176" s="568"/>
      <c r="C1176" s="568"/>
      <c r="D1176" s="568"/>
      <c r="E1176" s="571"/>
      <c r="F1176" s="569"/>
    </row>
    <row r="1177" spans="1:6" ht="20.25">
      <c r="A1177" s="570"/>
      <c r="B1177" s="568"/>
      <c r="C1177" s="568"/>
      <c r="D1177" s="568"/>
      <c r="E1177" s="571"/>
      <c r="F1177" s="569"/>
    </row>
    <row r="1178" spans="1:6" ht="20.25">
      <c r="A1178" s="570"/>
      <c r="B1178" s="568"/>
      <c r="C1178" s="568"/>
      <c r="D1178" s="568"/>
      <c r="E1178" s="571"/>
      <c r="F1178" s="569"/>
    </row>
    <row r="1179" spans="1:6" ht="20.25">
      <c r="A1179" s="570"/>
      <c r="B1179" s="568"/>
      <c r="C1179" s="568"/>
      <c r="D1179" s="568"/>
      <c r="E1179" s="571"/>
      <c r="F1179" s="569"/>
    </row>
    <row r="1180" spans="1:6" ht="20.25">
      <c r="A1180" s="570"/>
      <c r="B1180" s="568"/>
      <c r="C1180" s="568"/>
      <c r="D1180" s="568"/>
      <c r="E1180" s="571"/>
      <c r="F1180" s="569"/>
    </row>
    <row r="1181" spans="1:6" ht="20.25">
      <c r="A1181" s="570"/>
      <c r="B1181" s="568"/>
      <c r="C1181" s="568"/>
      <c r="D1181" s="568"/>
      <c r="E1181" s="571"/>
      <c r="F1181" s="569"/>
    </row>
    <row r="1182" spans="1:6" ht="20.25">
      <c r="A1182" s="570"/>
      <c r="B1182" s="568"/>
      <c r="C1182" s="568"/>
      <c r="D1182" s="568"/>
      <c r="E1182" s="571"/>
      <c r="F1182" s="569"/>
    </row>
    <row r="1183" spans="1:6" ht="20.25">
      <c r="A1183" s="570"/>
      <c r="B1183" s="568"/>
      <c r="C1183" s="568"/>
      <c r="D1183" s="568"/>
      <c r="E1183" s="571"/>
      <c r="F1183" s="569"/>
    </row>
    <row r="1184" spans="1:6" ht="20.25">
      <c r="A1184" s="570"/>
      <c r="B1184" s="568"/>
      <c r="C1184" s="568"/>
      <c r="D1184" s="568"/>
      <c r="E1184" s="571"/>
      <c r="F1184" s="569"/>
    </row>
    <row r="1185" spans="1:6" ht="20.25">
      <c r="A1185" s="570"/>
      <c r="B1185" s="568"/>
      <c r="C1185" s="568"/>
      <c r="D1185" s="568"/>
      <c r="E1185" s="571"/>
      <c r="F1185" s="569"/>
    </row>
    <row r="1186" spans="1:6" ht="20.25">
      <c r="A1186" s="570"/>
      <c r="B1186" s="568"/>
      <c r="C1186" s="568"/>
      <c r="D1186" s="568"/>
      <c r="E1186" s="571"/>
      <c r="F1186" s="569"/>
    </row>
    <row r="1187" spans="1:6" ht="20.25">
      <c r="A1187" s="570"/>
      <c r="B1187" s="568"/>
      <c r="C1187" s="568"/>
      <c r="D1187" s="568"/>
      <c r="E1187" s="571"/>
      <c r="F1187" s="569"/>
    </row>
    <row r="1188" spans="1:6" ht="20.25">
      <c r="A1188" s="570"/>
      <c r="B1188" s="568"/>
      <c r="C1188" s="568"/>
      <c r="D1188" s="568"/>
      <c r="E1188" s="571"/>
      <c r="F1188" s="569"/>
    </row>
    <row r="1189" spans="1:6" ht="20.25">
      <c r="A1189" s="570"/>
      <c r="B1189" s="568"/>
      <c r="C1189" s="568"/>
      <c r="D1189" s="568"/>
      <c r="E1189" s="571"/>
      <c r="F1189" s="569"/>
    </row>
    <row r="1190" spans="1:6" ht="20.25">
      <c r="A1190" s="570"/>
      <c r="B1190" s="568"/>
      <c r="C1190" s="568"/>
      <c r="D1190" s="568"/>
      <c r="E1190" s="571"/>
      <c r="F1190" s="569"/>
    </row>
    <row r="1191" spans="1:6" ht="20.25">
      <c r="A1191" s="570"/>
      <c r="B1191" s="568"/>
      <c r="C1191" s="568"/>
      <c r="D1191" s="568"/>
      <c r="E1191" s="571"/>
      <c r="F1191" s="569"/>
    </row>
    <row r="1192" spans="1:6" ht="20.25">
      <c r="A1192" s="570"/>
      <c r="B1192" s="568"/>
      <c r="C1192" s="568"/>
      <c r="D1192" s="568"/>
      <c r="E1192" s="571"/>
      <c r="F1192" s="569"/>
    </row>
    <row r="1193" spans="1:6" ht="20.25">
      <c r="A1193" s="570"/>
      <c r="B1193" s="568"/>
      <c r="C1193" s="568"/>
      <c r="D1193" s="568"/>
      <c r="E1193" s="571"/>
      <c r="F1193" s="569"/>
    </row>
    <row r="1194" spans="1:6" ht="20.25">
      <c r="A1194" s="570"/>
      <c r="B1194" s="568"/>
      <c r="C1194" s="568"/>
      <c r="D1194" s="568"/>
      <c r="E1194" s="571"/>
      <c r="F1194" s="569"/>
    </row>
    <row r="1195" spans="1:6" ht="20.25">
      <c r="A1195" s="570"/>
      <c r="B1195" s="568"/>
      <c r="C1195" s="568"/>
      <c r="D1195" s="568"/>
      <c r="E1195" s="571"/>
      <c r="F1195" s="569"/>
    </row>
    <row r="1196" spans="1:6" ht="20.25">
      <c r="A1196" s="570"/>
      <c r="B1196" s="568"/>
      <c r="C1196" s="568"/>
      <c r="D1196" s="568"/>
      <c r="E1196" s="571"/>
      <c r="F1196" s="569"/>
    </row>
    <row r="1197" spans="1:6" ht="20.25">
      <c r="A1197" s="570"/>
      <c r="B1197" s="568"/>
      <c r="C1197" s="568"/>
      <c r="D1197" s="568"/>
      <c r="E1197" s="571"/>
      <c r="F1197" s="569"/>
    </row>
    <row r="1198" spans="1:6" ht="20.25">
      <c r="A1198" s="570"/>
      <c r="B1198" s="568"/>
      <c r="C1198" s="568"/>
      <c r="D1198" s="568"/>
      <c r="E1198" s="571"/>
      <c r="F1198" s="569"/>
    </row>
    <row r="1199" spans="1:6" ht="20.25">
      <c r="A1199" s="570"/>
      <c r="B1199" s="568"/>
      <c r="C1199" s="568"/>
      <c r="D1199" s="568"/>
      <c r="E1199" s="571"/>
      <c r="F1199" s="569"/>
    </row>
    <row r="1200" spans="1:6" ht="20.25">
      <c r="A1200" s="570"/>
      <c r="B1200" s="568"/>
      <c r="C1200" s="568"/>
      <c r="D1200" s="568"/>
      <c r="E1200" s="571"/>
      <c r="F1200" s="569"/>
    </row>
    <row r="1201" spans="1:6" ht="20.25">
      <c r="A1201" s="570"/>
      <c r="B1201" s="568"/>
      <c r="C1201" s="568"/>
      <c r="D1201" s="568"/>
      <c r="E1201" s="571"/>
      <c r="F1201" s="569"/>
    </row>
    <row r="1202" spans="1:6" ht="20.25">
      <c r="A1202" s="570"/>
      <c r="B1202" s="568"/>
      <c r="C1202" s="568"/>
      <c r="D1202" s="568"/>
      <c r="E1202" s="571"/>
      <c r="F1202" s="569"/>
    </row>
    <row r="1203" spans="1:6" ht="20.25">
      <c r="A1203" s="570"/>
      <c r="B1203" s="568"/>
      <c r="C1203" s="568"/>
      <c r="D1203" s="568"/>
      <c r="E1203" s="571"/>
      <c r="F1203" s="569"/>
    </row>
    <row r="1204" spans="1:6" ht="20.25">
      <c r="A1204" s="570"/>
      <c r="B1204" s="568"/>
      <c r="C1204" s="568"/>
      <c r="D1204" s="568"/>
      <c r="E1204" s="571"/>
      <c r="F1204" s="569"/>
    </row>
    <row r="1205" spans="1:6" ht="20.25">
      <c r="A1205" s="570"/>
      <c r="B1205" s="568"/>
      <c r="C1205" s="568"/>
      <c r="D1205" s="568"/>
      <c r="E1205" s="571"/>
      <c r="F1205" s="569"/>
    </row>
    <row r="1206" spans="1:6" ht="20.25">
      <c r="A1206" s="570"/>
      <c r="B1206" s="568"/>
      <c r="C1206" s="568"/>
      <c r="D1206" s="568"/>
      <c r="E1206" s="571"/>
      <c r="F1206" s="569"/>
    </row>
    <row r="1207" spans="1:6" ht="20.25">
      <c r="A1207" s="570"/>
      <c r="B1207" s="568"/>
      <c r="C1207" s="568"/>
      <c r="D1207" s="568"/>
      <c r="E1207" s="571"/>
      <c r="F1207" s="569"/>
    </row>
    <row r="1208" spans="1:6" ht="20.25">
      <c r="A1208" s="570"/>
      <c r="B1208" s="568"/>
      <c r="C1208" s="568"/>
      <c r="D1208" s="568"/>
      <c r="E1208" s="571"/>
      <c r="F1208" s="569"/>
    </row>
    <row r="1209" spans="1:6" ht="20.25">
      <c r="A1209" s="570"/>
      <c r="B1209" s="568"/>
      <c r="C1209" s="568"/>
      <c r="D1209" s="568"/>
      <c r="E1209" s="571"/>
      <c r="F1209" s="569"/>
    </row>
    <row r="1210" spans="1:6" ht="20.25">
      <c r="A1210" s="570"/>
      <c r="B1210" s="568"/>
      <c r="C1210" s="568"/>
      <c r="D1210" s="568"/>
      <c r="E1210" s="571"/>
      <c r="F1210" s="569"/>
    </row>
    <row r="1211" spans="1:6" ht="20.25">
      <c r="A1211" s="570"/>
      <c r="B1211" s="568"/>
      <c r="C1211" s="568"/>
      <c r="D1211" s="568"/>
      <c r="E1211" s="571"/>
      <c r="F1211" s="569"/>
    </row>
    <row r="1212" spans="1:6" ht="20.25">
      <c r="A1212" s="570"/>
      <c r="B1212" s="568"/>
      <c r="C1212" s="568"/>
      <c r="D1212" s="568"/>
      <c r="E1212" s="571"/>
      <c r="F1212" s="569"/>
    </row>
    <row r="1213" spans="1:6" ht="20.25">
      <c r="A1213" s="570"/>
      <c r="B1213" s="568"/>
      <c r="C1213" s="568"/>
      <c r="D1213" s="568"/>
      <c r="E1213" s="571"/>
      <c r="F1213" s="569"/>
    </row>
    <row r="1214" spans="1:6" ht="20.25">
      <c r="A1214" s="570"/>
      <c r="B1214" s="568"/>
      <c r="C1214" s="568"/>
      <c r="D1214" s="568"/>
      <c r="E1214" s="571"/>
      <c r="F1214" s="569"/>
    </row>
    <row r="1215" spans="1:6" ht="20.25">
      <c r="A1215" s="570"/>
      <c r="B1215" s="568"/>
      <c r="C1215" s="568"/>
      <c r="D1215" s="568"/>
      <c r="E1215" s="571"/>
      <c r="F1215" s="569"/>
    </row>
    <row r="1216" spans="1:6" ht="20.25">
      <c r="A1216" s="570"/>
      <c r="B1216" s="568"/>
      <c r="C1216" s="568"/>
      <c r="D1216" s="568"/>
      <c r="E1216" s="571"/>
      <c r="F1216" s="569"/>
    </row>
    <row r="1217" spans="1:6" ht="20.25">
      <c r="A1217" s="570"/>
      <c r="B1217" s="568"/>
      <c r="C1217" s="568"/>
      <c r="D1217" s="568"/>
      <c r="E1217" s="571"/>
      <c r="F1217" s="569"/>
    </row>
    <row r="1218" spans="1:6" ht="20.25">
      <c r="A1218" s="570"/>
      <c r="B1218" s="568"/>
      <c r="C1218" s="568"/>
      <c r="D1218" s="568"/>
      <c r="E1218" s="571"/>
      <c r="F1218" s="569"/>
    </row>
    <row r="1219" spans="1:6" ht="20.25">
      <c r="A1219" s="570"/>
      <c r="B1219" s="568"/>
      <c r="C1219" s="568"/>
      <c r="D1219" s="568"/>
      <c r="E1219" s="571"/>
      <c r="F1219" s="569"/>
    </row>
    <row r="1220" spans="1:6" ht="20.25">
      <c r="A1220" s="570"/>
      <c r="B1220" s="568"/>
      <c r="C1220" s="568"/>
      <c r="D1220" s="568"/>
      <c r="E1220" s="571"/>
      <c r="F1220" s="569"/>
    </row>
    <row r="1221" spans="1:6" ht="20.25">
      <c r="A1221" s="570"/>
      <c r="B1221" s="568"/>
      <c r="C1221" s="568"/>
      <c r="D1221" s="568"/>
      <c r="E1221" s="571"/>
      <c r="F1221" s="569"/>
    </row>
    <row r="1222" spans="1:6" ht="20.25">
      <c r="A1222" s="570"/>
      <c r="B1222" s="568"/>
      <c r="C1222" s="568"/>
      <c r="D1222" s="568"/>
      <c r="E1222" s="571"/>
      <c r="F1222" s="569"/>
    </row>
    <row r="1223" spans="1:6" ht="20.25">
      <c r="A1223" s="570"/>
      <c r="B1223" s="568"/>
      <c r="C1223" s="568"/>
      <c r="D1223" s="568"/>
      <c r="E1223" s="571"/>
      <c r="F1223" s="569"/>
    </row>
    <row r="1224" spans="1:6" ht="20.25">
      <c r="A1224" s="570"/>
      <c r="B1224" s="568"/>
      <c r="C1224" s="568"/>
      <c r="D1224" s="568"/>
      <c r="E1224" s="571"/>
      <c r="F1224" s="569"/>
    </row>
    <row r="1225" spans="1:6" ht="20.25">
      <c r="A1225" s="570"/>
      <c r="B1225" s="568"/>
      <c r="C1225" s="568"/>
      <c r="D1225" s="568"/>
      <c r="E1225" s="571"/>
      <c r="F1225" s="569"/>
    </row>
    <row r="1226" spans="1:6" ht="20.25">
      <c r="A1226" s="570"/>
      <c r="B1226" s="568"/>
      <c r="C1226" s="568"/>
      <c r="D1226" s="568"/>
      <c r="E1226" s="571"/>
      <c r="F1226" s="569"/>
    </row>
    <row r="1227" spans="1:6" ht="20.25">
      <c r="A1227" s="570"/>
      <c r="B1227" s="568"/>
      <c r="C1227" s="568"/>
      <c r="D1227" s="568"/>
      <c r="E1227" s="571"/>
      <c r="F1227" s="569"/>
    </row>
    <row r="1228" spans="1:6" ht="20.25">
      <c r="A1228" s="570"/>
      <c r="B1228" s="568"/>
      <c r="C1228" s="568"/>
      <c r="D1228" s="568"/>
      <c r="E1228" s="571"/>
      <c r="F1228" s="569"/>
    </row>
    <row r="1229" spans="1:6" ht="20.25">
      <c r="A1229" s="570"/>
      <c r="B1229" s="568"/>
      <c r="C1229" s="568"/>
      <c r="D1229" s="568"/>
      <c r="E1229" s="571"/>
      <c r="F1229" s="569"/>
    </row>
    <row r="1230" spans="1:6" ht="20.25">
      <c r="A1230" s="570"/>
      <c r="B1230" s="568"/>
      <c r="C1230" s="568"/>
      <c r="D1230" s="568"/>
      <c r="E1230" s="571"/>
      <c r="F1230" s="569"/>
    </row>
    <row r="1231" spans="1:6" ht="20.25">
      <c r="A1231" s="570"/>
      <c r="B1231" s="568"/>
      <c r="C1231" s="568"/>
      <c r="D1231" s="568"/>
      <c r="E1231" s="571"/>
      <c r="F1231" s="569"/>
    </row>
    <row r="1232" spans="1:6" ht="20.25">
      <c r="A1232" s="570"/>
      <c r="B1232" s="568"/>
      <c r="C1232" s="568"/>
      <c r="D1232" s="568"/>
      <c r="E1232" s="571"/>
      <c r="F1232" s="569"/>
    </row>
    <row r="1233" spans="1:6" ht="20.25">
      <c r="A1233" s="570"/>
      <c r="B1233" s="568"/>
      <c r="C1233" s="568"/>
      <c r="D1233" s="568"/>
      <c r="E1233" s="571"/>
      <c r="F1233" s="569"/>
    </row>
    <row r="1234" spans="1:6" ht="20.25">
      <c r="A1234" s="570"/>
      <c r="B1234" s="568"/>
      <c r="C1234" s="568"/>
      <c r="D1234" s="568"/>
      <c r="E1234" s="571"/>
      <c r="F1234" s="569"/>
    </row>
    <row r="1235" spans="1:6" ht="20.25">
      <c r="A1235" s="570"/>
      <c r="B1235" s="568"/>
      <c r="C1235" s="568"/>
      <c r="D1235" s="568"/>
      <c r="E1235" s="571"/>
      <c r="F1235" s="569"/>
    </row>
    <row r="1236" spans="1:6" ht="20.25">
      <c r="A1236" s="570"/>
      <c r="B1236" s="568"/>
      <c r="C1236" s="568"/>
      <c r="D1236" s="568"/>
      <c r="E1236" s="571"/>
      <c r="F1236" s="569"/>
    </row>
    <row r="1237" spans="1:6" ht="20.25">
      <c r="A1237" s="570"/>
      <c r="B1237" s="568"/>
      <c r="C1237" s="568"/>
      <c r="D1237" s="568"/>
      <c r="E1237" s="571"/>
      <c r="F1237" s="569"/>
    </row>
    <row r="1238" spans="1:6" ht="20.25">
      <c r="A1238" s="570"/>
      <c r="B1238" s="568"/>
      <c r="C1238" s="568"/>
      <c r="D1238" s="568"/>
      <c r="E1238" s="571"/>
      <c r="F1238" s="569"/>
    </row>
    <row r="1239" spans="1:6" ht="20.25">
      <c r="A1239" s="570"/>
      <c r="B1239" s="568"/>
      <c r="C1239" s="568"/>
      <c r="D1239" s="568"/>
      <c r="E1239" s="571"/>
      <c r="F1239" s="569"/>
    </row>
    <row r="1240" spans="1:6" ht="20.25">
      <c r="A1240" s="570"/>
      <c r="B1240" s="568"/>
      <c r="C1240" s="568"/>
      <c r="D1240" s="568"/>
      <c r="E1240" s="571"/>
      <c r="F1240" s="569"/>
    </row>
    <row r="1241" spans="1:6" ht="20.25">
      <c r="A1241" s="570"/>
      <c r="B1241" s="568"/>
      <c r="C1241" s="568"/>
      <c r="D1241" s="568"/>
      <c r="E1241" s="571"/>
      <c r="F1241" s="569"/>
    </row>
    <row r="1242" spans="1:6" ht="20.25">
      <c r="A1242" s="570"/>
      <c r="B1242" s="568"/>
      <c r="C1242" s="568"/>
      <c r="D1242" s="568"/>
      <c r="E1242" s="571"/>
      <c r="F1242" s="569"/>
    </row>
    <row r="1243" spans="1:6" ht="20.25">
      <c r="A1243" s="570"/>
      <c r="B1243" s="568"/>
      <c r="C1243" s="568"/>
      <c r="D1243" s="568"/>
      <c r="E1243" s="571"/>
      <c r="F1243" s="569"/>
    </row>
    <row r="1244" spans="1:6" ht="20.25">
      <c r="A1244" s="570"/>
      <c r="B1244" s="568"/>
      <c r="C1244" s="568"/>
      <c r="D1244" s="568"/>
      <c r="E1244" s="571"/>
      <c r="F1244" s="569"/>
    </row>
    <row r="1245" spans="1:6" ht="20.25">
      <c r="A1245" s="570"/>
      <c r="B1245" s="568"/>
      <c r="C1245" s="568"/>
      <c r="D1245" s="568"/>
      <c r="E1245" s="571"/>
      <c r="F1245" s="569"/>
    </row>
    <row r="1246" spans="1:6" ht="20.25">
      <c r="A1246" s="570"/>
      <c r="B1246" s="568"/>
      <c r="C1246" s="568"/>
      <c r="D1246" s="568"/>
      <c r="E1246" s="571"/>
      <c r="F1246" s="569"/>
    </row>
    <row r="1247" spans="1:6" ht="20.25">
      <c r="A1247" s="570"/>
      <c r="B1247" s="568"/>
      <c r="C1247" s="568"/>
      <c r="D1247" s="568"/>
      <c r="E1247" s="571"/>
      <c r="F1247" s="569"/>
    </row>
    <row r="1248" spans="1:6" ht="20.25">
      <c r="A1248" s="570"/>
      <c r="B1248" s="568"/>
      <c r="C1248" s="568"/>
      <c r="D1248" s="568"/>
      <c r="E1248" s="571"/>
      <c r="F1248" s="569"/>
    </row>
    <row r="1249" spans="1:6" ht="20.25">
      <c r="A1249" s="570"/>
      <c r="B1249" s="568"/>
      <c r="C1249" s="568"/>
      <c r="D1249" s="568"/>
      <c r="E1249" s="571"/>
      <c r="F1249" s="569"/>
    </row>
    <row r="1250" spans="1:6" ht="20.25">
      <c r="A1250" s="570"/>
      <c r="B1250" s="568"/>
      <c r="C1250" s="568"/>
      <c r="D1250" s="568"/>
      <c r="E1250" s="571"/>
      <c r="F1250" s="569"/>
    </row>
    <row r="1251" spans="1:6" ht="20.25">
      <c r="A1251" s="570"/>
      <c r="B1251" s="568"/>
      <c r="C1251" s="568"/>
      <c r="D1251" s="568"/>
      <c r="E1251" s="571"/>
      <c r="F1251" s="569"/>
    </row>
    <row r="1252" spans="1:6" ht="20.25">
      <c r="A1252" s="570"/>
      <c r="B1252" s="568"/>
      <c r="C1252" s="568"/>
      <c r="D1252" s="568"/>
      <c r="E1252" s="571"/>
      <c r="F1252" s="569"/>
    </row>
    <row r="1253" spans="1:6" ht="20.25">
      <c r="A1253" s="570"/>
      <c r="B1253" s="568"/>
      <c r="C1253" s="568"/>
      <c r="D1253" s="568"/>
      <c r="E1253" s="571"/>
      <c r="F1253" s="569"/>
    </row>
    <row r="1254" spans="1:6" ht="20.25">
      <c r="A1254" s="570"/>
      <c r="B1254" s="568"/>
      <c r="C1254" s="568"/>
      <c r="D1254" s="568"/>
      <c r="E1254" s="571"/>
      <c r="F1254" s="569"/>
    </row>
    <row r="1255" spans="1:6" ht="20.25">
      <c r="A1255" s="570"/>
      <c r="B1255" s="568"/>
      <c r="C1255" s="568"/>
      <c r="D1255" s="568"/>
      <c r="E1255" s="571"/>
      <c r="F1255" s="569"/>
    </row>
    <row r="1256" spans="1:6" ht="20.25">
      <c r="A1256" s="570"/>
      <c r="B1256" s="568"/>
      <c r="C1256" s="568"/>
      <c r="D1256" s="568"/>
      <c r="E1256" s="571"/>
      <c r="F1256" s="569"/>
    </row>
    <row r="1257" spans="1:6" ht="20.25">
      <c r="A1257" s="570"/>
      <c r="B1257" s="568"/>
      <c r="C1257" s="568"/>
      <c r="D1257" s="568"/>
      <c r="E1257" s="571"/>
      <c r="F1257" s="569"/>
    </row>
    <row r="1258" spans="1:6" ht="20.25">
      <c r="A1258" s="570"/>
      <c r="B1258" s="568"/>
      <c r="C1258" s="568"/>
      <c r="D1258" s="568"/>
      <c r="E1258" s="571"/>
      <c r="F1258" s="569"/>
    </row>
    <row r="1259" spans="1:6" ht="20.25">
      <c r="A1259" s="570"/>
      <c r="B1259" s="568"/>
      <c r="C1259" s="568"/>
      <c r="D1259" s="568"/>
      <c r="E1259" s="571"/>
      <c r="F1259" s="569"/>
    </row>
    <row r="1260" spans="1:6" ht="20.25">
      <c r="A1260" s="570"/>
      <c r="B1260" s="568"/>
      <c r="C1260" s="568"/>
      <c r="D1260" s="568"/>
      <c r="E1260" s="571"/>
      <c r="F1260" s="569"/>
    </row>
    <row r="1261" spans="1:6" ht="20.25">
      <c r="A1261" s="570"/>
      <c r="B1261" s="568"/>
      <c r="C1261" s="568"/>
      <c r="D1261" s="568"/>
      <c r="E1261" s="571"/>
      <c r="F1261" s="569"/>
    </row>
    <row r="1262" spans="1:6" ht="20.25">
      <c r="A1262" s="570"/>
      <c r="B1262" s="568"/>
      <c r="C1262" s="568"/>
      <c r="D1262" s="568"/>
      <c r="E1262" s="571"/>
      <c r="F1262" s="569"/>
    </row>
    <row r="1263" spans="1:6" ht="20.25">
      <c r="A1263" s="570"/>
      <c r="B1263" s="568"/>
      <c r="C1263" s="568"/>
      <c r="D1263" s="568"/>
      <c r="E1263" s="571"/>
      <c r="F1263" s="569"/>
    </row>
    <row r="1264" spans="1:6" ht="20.25">
      <c r="A1264" s="570"/>
      <c r="B1264" s="568"/>
      <c r="C1264" s="568"/>
      <c r="D1264" s="568"/>
      <c r="E1264" s="571"/>
      <c r="F1264" s="569"/>
    </row>
    <row r="1265" spans="1:6" ht="20.25">
      <c r="A1265" s="570"/>
      <c r="B1265" s="568"/>
      <c r="C1265" s="568"/>
      <c r="D1265" s="568"/>
      <c r="E1265" s="571"/>
      <c r="F1265" s="569"/>
    </row>
    <row r="1266" spans="1:6" ht="20.25">
      <c r="A1266" s="570"/>
      <c r="B1266" s="568"/>
      <c r="C1266" s="568"/>
      <c r="D1266" s="568"/>
      <c r="E1266" s="571"/>
      <c r="F1266" s="569"/>
    </row>
    <row r="1267" spans="1:6" ht="20.25">
      <c r="A1267" s="570"/>
      <c r="B1267" s="568"/>
      <c r="C1267" s="568"/>
      <c r="D1267" s="568"/>
      <c r="E1267" s="571"/>
      <c r="F1267" s="569"/>
    </row>
    <row r="1268" spans="1:6" ht="20.25">
      <c r="A1268" s="570"/>
      <c r="B1268" s="568"/>
      <c r="C1268" s="568"/>
      <c r="D1268" s="568"/>
      <c r="E1268" s="571"/>
      <c r="F1268" s="569"/>
    </row>
    <row r="1269" spans="1:6" ht="20.25">
      <c r="A1269" s="570"/>
      <c r="B1269" s="568"/>
      <c r="C1269" s="568"/>
      <c r="D1269" s="568"/>
      <c r="E1269" s="571"/>
      <c r="F1269" s="569"/>
    </row>
    <row r="1270" spans="1:6" ht="20.25">
      <c r="A1270" s="570"/>
      <c r="B1270" s="568"/>
      <c r="C1270" s="568"/>
      <c r="D1270" s="568"/>
      <c r="E1270" s="571"/>
      <c r="F1270" s="569"/>
    </row>
    <row r="1271" spans="1:6" ht="20.25">
      <c r="A1271" s="570"/>
      <c r="B1271" s="568"/>
      <c r="C1271" s="568"/>
      <c r="D1271" s="568"/>
      <c r="E1271" s="571"/>
      <c r="F1271" s="569"/>
    </row>
    <row r="1272" spans="1:6" ht="20.25">
      <c r="A1272" s="570"/>
      <c r="B1272" s="568"/>
      <c r="C1272" s="568"/>
      <c r="D1272" s="568"/>
      <c r="E1272" s="571"/>
      <c r="F1272" s="569"/>
    </row>
    <row r="1273" spans="1:6" ht="20.25">
      <c r="A1273" s="570"/>
      <c r="B1273" s="568"/>
      <c r="C1273" s="568"/>
      <c r="D1273" s="568"/>
      <c r="E1273" s="571"/>
      <c r="F1273" s="569"/>
    </row>
    <row r="1274" spans="1:6" ht="20.25">
      <c r="A1274" s="570"/>
      <c r="B1274" s="568"/>
      <c r="C1274" s="568"/>
      <c r="D1274" s="568"/>
      <c r="E1274" s="571"/>
      <c r="F1274" s="569"/>
    </row>
    <row r="1275" spans="1:6" ht="20.25">
      <c r="A1275" s="570"/>
      <c r="B1275" s="568"/>
      <c r="C1275" s="568"/>
      <c r="D1275" s="568"/>
      <c r="E1275" s="571"/>
      <c r="F1275" s="569"/>
    </row>
    <row r="1276" spans="1:6" ht="20.25">
      <c r="A1276" s="570"/>
      <c r="B1276" s="568"/>
      <c r="C1276" s="568"/>
      <c r="D1276" s="568"/>
      <c r="E1276" s="571"/>
      <c r="F1276" s="569"/>
    </row>
    <row r="1277" spans="1:6" ht="20.25">
      <c r="A1277" s="570"/>
      <c r="B1277" s="568"/>
      <c r="C1277" s="568"/>
      <c r="D1277" s="568"/>
      <c r="E1277" s="571"/>
      <c r="F1277" s="569"/>
    </row>
    <row r="1278" spans="1:6" ht="20.25">
      <c r="A1278" s="570"/>
      <c r="B1278" s="568"/>
      <c r="C1278" s="568"/>
      <c r="D1278" s="568"/>
      <c r="E1278" s="571"/>
      <c r="F1278" s="569"/>
    </row>
    <row r="1279" spans="1:6" ht="20.25">
      <c r="A1279" s="570"/>
      <c r="B1279" s="568"/>
      <c r="C1279" s="568"/>
      <c r="D1279" s="568"/>
      <c r="E1279" s="571"/>
      <c r="F1279" s="569"/>
    </row>
    <row r="1280" spans="1:6" ht="20.25">
      <c r="A1280" s="570"/>
      <c r="B1280" s="568"/>
      <c r="C1280" s="568"/>
      <c r="D1280" s="568"/>
      <c r="E1280" s="571"/>
      <c r="F1280" s="569"/>
    </row>
    <row r="1281" spans="1:6" ht="20.25">
      <c r="A1281" s="570"/>
      <c r="B1281" s="568"/>
      <c r="C1281" s="568"/>
      <c r="D1281" s="568"/>
      <c r="E1281" s="571"/>
      <c r="F1281" s="569"/>
    </row>
    <row r="1282" spans="1:6" ht="20.25">
      <c r="A1282" s="570"/>
      <c r="B1282" s="568"/>
      <c r="C1282" s="568"/>
      <c r="D1282" s="568"/>
      <c r="E1282" s="571"/>
      <c r="F1282" s="569"/>
    </row>
    <row r="1283" spans="1:6" ht="20.25">
      <c r="A1283" s="570"/>
      <c r="B1283" s="568"/>
      <c r="C1283" s="568"/>
      <c r="D1283" s="568"/>
      <c r="E1283" s="571"/>
      <c r="F1283" s="569"/>
    </row>
    <row r="1284" spans="1:6" ht="20.25">
      <c r="A1284" s="570"/>
      <c r="B1284" s="568"/>
      <c r="C1284" s="568"/>
      <c r="D1284" s="568"/>
      <c r="E1284" s="571"/>
      <c r="F1284" s="569"/>
    </row>
    <row r="1285" spans="1:6" ht="20.25">
      <c r="A1285" s="570"/>
      <c r="B1285" s="568"/>
      <c r="C1285" s="568"/>
      <c r="D1285" s="568"/>
      <c r="E1285" s="571"/>
      <c r="F1285" s="569"/>
    </row>
    <row r="1286" spans="1:6" ht="20.25">
      <c r="A1286" s="570"/>
      <c r="B1286" s="568"/>
      <c r="C1286" s="568"/>
      <c r="D1286" s="568"/>
      <c r="E1286" s="571"/>
      <c r="F1286" s="569"/>
    </row>
    <row r="1287" spans="1:6" ht="20.25">
      <c r="A1287" s="570"/>
      <c r="B1287" s="568"/>
      <c r="C1287" s="568"/>
      <c r="D1287" s="568"/>
      <c r="E1287" s="571"/>
      <c r="F1287" s="569"/>
    </row>
    <row r="1288" spans="1:6" ht="20.25">
      <c r="A1288" s="570"/>
      <c r="B1288" s="568"/>
      <c r="C1288" s="568"/>
      <c r="D1288" s="568"/>
      <c r="E1288" s="571"/>
      <c r="F1288" s="569"/>
    </row>
    <row r="1289" spans="1:6" ht="20.25">
      <c r="A1289" s="570"/>
      <c r="B1289" s="568"/>
      <c r="C1289" s="568"/>
      <c r="D1289" s="568"/>
      <c r="E1289" s="571"/>
      <c r="F1289" s="569"/>
    </row>
    <row r="1290" spans="1:6" ht="20.25">
      <c r="A1290" s="570"/>
      <c r="B1290" s="568"/>
      <c r="C1290" s="568"/>
      <c r="D1290" s="568"/>
      <c r="E1290" s="571"/>
      <c r="F1290" s="569"/>
    </row>
    <row r="1291" spans="1:6" ht="20.25">
      <c r="A1291" s="570"/>
      <c r="B1291" s="568"/>
      <c r="C1291" s="568"/>
      <c r="D1291" s="568"/>
      <c r="E1291" s="571"/>
      <c r="F1291" s="569"/>
    </row>
    <row r="1292" spans="1:6" ht="20.25">
      <c r="A1292" s="570"/>
      <c r="B1292" s="568"/>
      <c r="C1292" s="568"/>
      <c r="D1292" s="568"/>
      <c r="E1292" s="571"/>
      <c r="F1292" s="569"/>
    </row>
    <row r="1293" spans="1:6" ht="20.25">
      <c r="A1293" s="570"/>
      <c r="B1293" s="568"/>
      <c r="C1293" s="568"/>
      <c r="D1293" s="568"/>
      <c r="E1293" s="571"/>
      <c r="F1293" s="569"/>
    </row>
    <row r="1294" spans="1:6" ht="20.25">
      <c r="A1294" s="570"/>
      <c r="B1294" s="568"/>
      <c r="C1294" s="568"/>
      <c r="D1294" s="568"/>
      <c r="E1294" s="571"/>
      <c r="F1294" s="569"/>
    </row>
    <row r="1295" spans="1:6" ht="20.25">
      <c r="A1295" s="570"/>
      <c r="B1295" s="568"/>
      <c r="C1295" s="568"/>
      <c r="D1295" s="568"/>
      <c r="E1295" s="571"/>
      <c r="F1295" s="569"/>
    </row>
    <row r="1296" spans="1:6" ht="20.25">
      <c r="A1296" s="570"/>
      <c r="B1296" s="568"/>
      <c r="C1296" s="568"/>
      <c r="D1296" s="568"/>
      <c r="E1296" s="571"/>
      <c r="F1296" s="569"/>
    </row>
    <row r="1297" spans="1:6" ht="20.25">
      <c r="A1297" s="570"/>
      <c r="B1297" s="568"/>
      <c r="C1297" s="568"/>
      <c r="D1297" s="568"/>
      <c r="E1297" s="571"/>
      <c r="F1297" s="569"/>
    </row>
    <row r="1298" spans="1:6" ht="20.25">
      <c r="A1298" s="570"/>
      <c r="B1298" s="568"/>
      <c r="C1298" s="568"/>
      <c r="D1298" s="568"/>
      <c r="E1298" s="571"/>
      <c r="F1298" s="569"/>
    </row>
    <row r="1299" spans="1:6" ht="20.25">
      <c r="A1299" s="570"/>
      <c r="B1299" s="568"/>
      <c r="C1299" s="568"/>
      <c r="D1299" s="568"/>
      <c r="E1299" s="571"/>
      <c r="F1299" s="569"/>
    </row>
    <row r="1300" spans="1:6" ht="20.25">
      <c r="A1300" s="570"/>
      <c r="B1300" s="568"/>
      <c r="C1300" s="568"/>
      <c r="D1300" s="568"/>
      <c r="E1300" s="571"/>
      <c r="F1300" s="569"/>
    </row>
    <row r="1301" spans="1:6" ht="20.25">
      <c r="A1301" s="570"/>
      <c r="B1301" s="568"/>
      <c r="C1301" s="568"/>
      <c r="D1301" s="568"/>
      <c r="E1301" s="571"/>
      <c r="F1301" s="569"/>
    </row>
    <row r="1302" spans="1:6" ht="20.25">
      <c r="A1302" s="570"/>
      <c r="B1302" s="568"/>
      <c r="C1302" s="568"/>
      <c r="D1302" s="568"/>
      <c r="E1302" s="571"/>
      <c r="F1302" s="569"/>
    </row>
    <row r="1303" spans="1:6" ht="20.25">
      <c r="A1303" s="570"/>
      <c r="B1303" s="568"/>
      <c r="C1303" s="568"/>
      <c r="D1303" s="568"/>
      <c r="E1303" s="571"/>
      <c r="F1303" s="569"/>
    </row>
    <row r="1304" spans="1:6" ht="20.25">
      <c r="A1304" s="570"/>
      <c r="B1304" s="568"/>
      <c r="C1304" s="568"/>
      <c r="D1304" s="568"/>
      <c r="E1304" s="571"/>
      <c r="F1304" s="569"/>
    </row>
    <row r="1305" spans="1:6" ht="20.25">
      <c r="A1305" s="570"/>
      <c r="B1305" s="568"/>
      <c r="C1305" s="568"/>
      <c r="D1305" s="568"/>
      <c r="E1305" s="571"/>
      <c r="F1305" s="569"/>
    </row>
    <row r="1306" spans="1:6" ht="20.25">
      <c r="A1306" s="570"/>
      <c r="B1306" s="568"/>
      <c r="C1306" s="568"/>
      <c r="D1306" s="568"/>
      <c r="E1306" s="571"/>
      <c r="F1306" s="569"/>
    </row>
    <row r="1307" spans="1:6" ht="20.25">
      <c r="A1307" s="570"/>
      <c r="B1307" s="568"/>
      <c r="C1307" s="568"/>
      <c r="D1307" s="568"/>
      <c r="E1307" s="571"/>
      <c r="F1307" s="569"/>
    </row>
    <row r="1308" spans="1:6" ht="20.25">
      <c r="A1308" s="570"/>
      <c r="B1308" s="568"/>
      <c r="C1308" s="568"/>
      <c r="D1308" s="568"/>
      <c r="E1308" s="571"/>
      <c r="F1308" s="569"/>
    </row>
    <row r="1309" spans="1:6" ht="20.25">
      <c r="A1309" s="570"/>
      <c r="B1309" s="568"/>
      <c r="C1309" s="568"/>
      <c r="D1309" s="568"/>
      <c r="E1309" s="571"/>
      <c r="F1309" s="569"/>
    </row>
    <row r="1310" spans="1:6" ht="20.25">
      <c r="A1310" s="570"/>
      <c r="B1310" s="568"/>
      <c r="C1310" s="568"/>
      <c r="D1310" s="568"/>
      <c r="E1310" s="571"/>
      <c r="F1310" s="569"/>
    </row>
    <row r="1311" spans="1:6" ht="20.25">
      <c r="A1311" s="570"/>
      <c r="B1311" s="568"/>
      <c r="C1311" s="568"/>
      <c r="D1311" s="568"/>
      <c r="E1311" s="571"/>
      <c r="F1311" s="569"/>
    </row>
    <row r="1312" spans="1:6" ht="20.25">
      <c r="A1312" s="570"/>
      <c r="B1312" s="568"/>
      <c r="C1312" s="568"/>
      <c r="D1312" s="568"/>
      <c r="E1312" s="571"/>
      <c r="F1312" s="569"/>
    </row>
    <row r="1313" spans="1:6" ht="20.25">
      <c r="A1313" s="570"/>
      <c r="B1313" s="568"/>
      <c r="C1313" s="568"/>
      <c r="D1313" s="568"/>
      <c r="E1313" s="571"/>
      <c r="F1313" s="569"/>
    </row>
    <row r="1314" spans="1:6" ht="20.25">
      <c r="A1314" s="570"/>
      <c r="B1314" s="568"/>
      <c r="C1314" s="568"/>
      <c r="D1314" s="568"/>
      <c r="E1314" s="571"/>
      <c r="F1314" s="569"/>
    </row>
    <row r="1315" spans="1:6" ht="20.25">
      <c r="A1315" s="570"/>
      <c r="B1315" s="568"/>
      <c r="C1315" s="568"/>
      <c r="D1315" s="568"/>
      <c r="E1315" s="571"/>
      <c r="F1315" s="569"/>
    </row>
    <row r="1316" spans="1:6" ht="20.25">
      <c r="A1316" s="570"/>
      <c r="B1316" s="568"/>
      <c r="C1316" s="568"/>
      <c r="D1316" s="568"/>
      <c r="E1316" s="571"/>
      <c r="F1316" s="569"/>
    </row>
    <row r="1317" spans="1:6" ht="20.25">
      <c r="A1317" s="570"/>
      <c r="B1317" s="568"/>
      <c r="C1317" s="568"/>
      <c r="D1317" s="568"/>
      <c r="E1317" s="571"/>
      <c r="F1317" s="569"/>
    </row>
    <row r="1318" spans="1:6" ht="20.25">
      <c r="A1318" s="570"/>
      <c r="B1318" s="568"/>
      <c r="C1318" s="568"/>
      <c r="D1318" s="568"/>
      <c r="E1318" s="571"/>
      <c r="F1318" s="569"/>
    </row>
    <row r="1319" spans="1:6" ht="20.25">
      <c r="A1319" s="570"/>
      <c r="B1319" s="568"/>
      <c r="C1319" s="568"/>
      <c r="D1319" s="568"/>
      <c r="E1319" s="571"/>
      <c r="F1319" s="569"/>
    </row>
    <row r="1320" spans="1:6" ht="20.25">
      <c r="A1320" s="570"/>
      <c r="B1320" s="568"/>
      <c r="C1320" s="568"/>
      <c r="D1320" s="568"/>
      <c r="E1320" s="571"/>
      <c r="F1320" s="569"/>
    </row>
    <row r="1321" spans="1:6" ht="20.25">
      <c r="A1321" s="570"/>
      <c r="B1321" s="568"/>
      <c r="C1321" s="568"/>
      <c r="D1321" s="568"/>
      <c r="E1321" s="571"/>
      <c r="F1321" s="569"/>
    </row>
    <row r="1322" spans="1:6" ht="20.25">
      <c r="A1322" s="570"/>
      <c r="B1322" s="568"/>
      <c r="C1322" s="568"/>
      <c r="D1322" s="568"/>
      <c r="E1322" s="571"/>
      <c r="F1322" s="569"/>
    </row>
    <row r="1323" spans="1:6" ht="20.25">
      <c r="A1323" s="570"/>
      <c r="B1323" s="568"/>
      <c r="C1323" s="568"/>
      <c r="D1323" s="568"/>
      <c r="E1323" s="571"/>
      <c r="F1323" s="569"/>
    </row>
    <row r="1324" spans="1:6" ht="20.25">
      <c r="A1324" s="570"/>
      <c r="B1324" s="568"/>
      <c r="C1324" s="568"/>
      <c r="D1324" s="568"/>
      <c r="E1324" s="571"/>
      <c r="F1324" s="569"/>
    </row>
    <row r="1325" spans="1:6" ht="20.25">
      <c r="A1325" s="570"/>
      <c r="B1325" s="568"/>
      <c r="C1325" s="568"/>
      <c r="D1325" s="568"/>
      <c r="E1325" s="571"/>
      <c r="F1325" s="569"/>
    </row>
    <row r="1326" spans="1:6" ht="20.25">
      <c r="A1326" s="570"/>
      <c r="B1326" s="568"/>
      <c r="C1326" s="568"/>
      <c r="D1326" s="568"/>
      <c r="E1326" s="571"/>
      <c r="F1326" s="569"/>
    </row>
    <row r="1327" spans="1:6" ht="20.25">
      <c r="A1327" s="570"/>
      <c r="B1327" s="568"/>
      <c r="C1327" s="568"/>
      <c r="D1327" s="568"/>
      <c r="E1327" s="571"/>
      <c r="F1327" s="569"/>
    </row>
    <row r="1328" spans="1:6" ht="20.25">
      <c r="A1328" s="570"/>
      <c r="B1328" s="568"/>
      <c r="C1328" s="568"/>
      <c r="D1328" s="568"/>
      <c r="E1328" s="571"/>
      <c r="F1328" s="569"/>
    </row>
    <row r="1329" spans="1:6" ht="20.25">
      <c r="A1329" s="570"/>
      <c r="B1329" s="568"/>
      <c r="C1329" s="568"/>
      <c r="D1329" s="568"/>
      <c r="E1329" s="571"/>
      <c r="F1329" s="569"/>
    </row>
    <row r="1330" spans="1:6" ht="20.25">
      <c r="A1330" s="570"/>
      <c r="B1330" s="568"/>
      <c r="C1330" s="568"/>
      <c r="D1330" s="568"/>
      <c r="E1330" s="571"/>
      <c r="F1330" s="569"/>
    </row>
    <row r="1331" spans="1:6" ht="20.25">
      <c r="A1331" s="570"/>
      <c r="B1331" s="568"/>
      <c r="C1331" s="568"/>
      <c r="D1331" s="568"/>
      <c r="E1331" s="571"/>
      <c r="F1331" s="569"/>
    </row>
    <row r="1332" spans="1:6" ht="20.25">
      <c r="A1332" s="570"/>
      <c r="B1332" s="568"/>
      <c r="C1332" s="568"/>
      <c r="D1332" s="568"/>
      <c r="E1332" s="571"/>
      <c r="F1332" s="569"/>
    </row>
    <row r="1333" spans="1:6" ht="20.25">
      <c r="A1333" s="570"/>
      <c r="B1333" s="568"/>
      <c r="C1333" s="568"/>
      <c r="D1333" s="568"/>
      <c r="E1333" s="571"/>
      <c r="F1333" s="569"/>
    </row>
    <row r="1334" spans="1:6" ht="20.25">
      <c r="A1334" s="570"/>
      <c r="B1334" s="568"/>
      <c r="C1334" s="568"/>
      <c r="D1334" s="568"/>
      <c r="E1334" s="571"/>
      <c r="F1334" s="569"/>
    </row>
    <row r="1335" spans="1:6" ht="20.25">
      <c r="A1335" s="570"/>
      <c r="B1335" s="568"/>
      <c r="C1335" s="568"/>
      <c r="D1335" s="568"/>
      <c r="E1335" s="571"/>
      <c r="F1335" s="569"/>
    </row>
    <row r="1336" spans="1:6" ht="20.25">
      <c r="A1336" s="570"/>
      <c r="B1336" s="568"/>
      <c r="C1336" s="568"/>
      <c r="D1336" s="568"/>
      <c r="E1336" s="571"/>
      <c r="F1336" s="569"/>
    </row>
    <row r="1337" spans="1:6" ht="20.25">
      <c r="A1337" s="570"/>
      <c r="B1337" s="568"/>
      <c r="C1337" s="568"/>
      <c r="D1337" s="568"/>
      <c r="E1337" s="571"/>
      <c r="F1337" s="569"/>
    </row>
    <row r="1338" spans="1:6" ht="20.25">
      <c r="A1338" s="570"/>
      <c r="B1338" s="568"/>
      <c r="C1338" s="568"/>
      <c r="D1338" s="568"/>
      <c r="E1338" s="571"/>
      <c r="F1338" s="569"/>
    </row>
    <row r="1339" spans="1:6" ht="20.25">
      <c r="A1339" s="570"/>
      <c r="B1339" s="568"/>
      <c r="C1339" s="568"/>
      <c r="D1339" s="568"/>
      <c r="E1339" s="571"/>
      <c r="F1339" s="569"/>
    </row>
    <row r="1340" spans="1:6" ht="20.25">
      <c r="A1340" s="570"/>
      <c r="B1340" s="568"/>
      <c r="C1340" s="568"/>
      <c r="D1340" s="568"/>
      <c r="E1340" s="571"/>
      <c r="F1340" s="569"/>
    </row>
    <row r="1341" spans="1:6" ht="20.25">
      <c r="A1341" s="570"/>
      <c r="B1341" s="568"/>
      <c r="C1341" s="568"/>
      <c r="D1341" s="568"/>
      <c r="E1341" s="571"/>
      <c r="F1341" s="569"/>
    </row>
    <row r="1342" spans="1:6" ht="20.25">
      <c r="A1342" s="570"/>
      <c r="B1342" s="568"/>
      <c r="C1342" s="568"/>
      <c r="D1342" s="568"/>
      <c r="E1342" s="571"/>
      <c r="F1342" s="569"/>
    </row>
    <row r="1343" spans="1:6" ht="20.25">
      <c r="A1343" s="570"/>
      <c r="B1343" s="568"/>
      <c r="C1343" s="568"/>
      <c r="D1343" s="568"/>
      <c r="E1343" s="571"/>
      <c r="F1343" s="569"/>
    </row>
    <row r="1344" spans="1:6" ht="20.25">
      <c r="A1344" s="570"/>
      <c r="B1344" s="568"/>
      <c r="C1344" s="568"/>
      <c r="D1344" s="568"/>
      <c r="E1344" s="571"/>
      <c r="F1344" s="569"/>
    </row>
    <row r="1345" spans="1:6" ht="20.25">
      <c r="A1345" s="570"/>
      <c r="B1345" s="568"/>
      <c r="C1345" s="568"/>
      <c r="D1345" s="568"/>
      <c r="E1345" s="571"/>
      <c r="F1345" s="569"/>
    </row>
    <row r="1346" spans="1:6" ht="20.25">
      <c r="A1346" s="570"/>
      <c r="B1346" s="568"/>
      <c r="C1346" s="568"/>
      <c r="D1346" s="568"/>
      <c r="E1346" s="571"/>
      <c r="F1346" s="569"/>
    </row>
    <row r="1347" spans="1:6" ht="20.25">
      <c r="A1347" s="570"/>
      <c r="B1347" s="568"/>
      <c r="C1347" s="568"/>
      <c r="D1347" s="568"/>
      <c r="E1347" s="571"/>
      <c r="F1347" s="569"/>
    </row>
    <row r="1348" spans="1:6" ht="20.25">
      <c r="A1348" s="570"/>
      <c r="B1348" s="568"/>
      <c r="C1348" s="568"/>
      <c r="D1348" s="568"/>
      <c r="E1348" s="571"/>
      <c r="F1348" s="569"/>
    </row>
    <row r="1349" spans="1:6" ht="20.25">
      <c r="A1349" s="570"/>
      <c r="B1349" s="568"/>
      <c r="C1349" s="568"/>
      <c r="D1349" s="568"/>
      <c r="E1349" s="571"/>
      <c r="F1349" s="569"/>
    </row>
    <row r="1350" spans="1:6" ht="20.25">
      <c r="A1350" s="570"/>
      <c r="B1350" s="568"/>
      <c r="C1350" s="568"/>
      <c r="D1350" s="568"/>
      <c r="E1350" s="571"/>
      <c r="F1350" s="569"/>
    </row>
    <row r="1351" spans="1:6" ht="20.25">
      <c r="A1351" s="570"/>
      <c r="B1351" s="568"/>
      <c r="C1351" s="568"/>
      <c r="D1351" s="568"/>
      <c r="E1351" s="571"/>
      <c r="F1351" s="569"/>
    </row>
    <row r="1352" spans="1:6" ht="20.25">
      <c r="A1352" s="570"/>
      <c r="B1352" s="568"/>
      <c r="C1352" s="568"/>
      <c r="D1352" s="568"/>
      <c r="E1352" s="571"/>
      <c r="F1352" s="569"/>
    </row>
    <row r="1353" spans="1:6" ht="20.25">
      <c r="A1353" s="570"/>
      <c r="B1353" s="568"/>
      <c r="C1353" s="568"/>
      <c r="D1353" s="568"/>
      <c r="E1353" s="571"/>
      <c r="F1353" s="569"/>
    </row>
    <row r="1354" spans="1:6" ht="20.25">
      <c r="A1354" s="570"/>
      <c r="B1354" s="568"/>
      <c r="C1354" s="568"/>
      <c r="D1354" s="568"/>
      <c r="E1354" s="571"/>
      <c r="F1354" s="569"/>
    </row>
    <row r="1355" spans="1:6" ht="20.25">
      <c r="A1355" s="570"/>
      <c r="B1355" s="568"/>
      <c r="C1355" s="568"/>
      <c r="D1355" s="568"/>
      <c r="E1355" s="571"/>
      <c r="F1355" s="569"/>
    </row>
    <row r="1356" spans="1:6" ht="20.25">
      <c r="A1356" s="570"/>
      <c r="B1356" s="568"/>
      <c r="C1356" s="568"/>
      <c r="D1356" s="568"/>
      <c r="E1356" s="571"/>
      <c r="F1356" s="569"/>
    </row>
    <row r="1357" spans="1:6" ht="20.25">
      <c r="A1357" s="570"/>
      <c r="B1357" s="568"/>
      <c r="C1357" s="568"/>
      <c r="D1357" s="568"/>
      <c r="E1357" s="571"/>
      <c r="F1357" s="569"/>
    </row>
    <row r="1358" spans="1:6" ht="20.25">
      <c r="A1358" s="570"/>
      <c r="B1358" s="568"/>
      <c r="C1358" s="568"/>
      <c r="D1358" s="568"/>
      <c r="E1358" s="571"/>
      <c r="F1358" s="569"/>
    </row>
    <row r="1359" spans="1:6" ht="20.25">
      <c r="A1359" s="570"/>
      <c r="B1359" s="568"/>
      <c r="C1359" s="568"/>
      <c r="D1359" s="568"/>
      <c r="E1359" s="571"/>
      <c r="F1359" s="569"/>
    </row>
    <row r="1360" spans="1:6" ht="20.25">
      <c r="A1360" s="570"/>
      <c r="B1360" s="568"/>
      <c r="C1360" s="568"/>
      <c r="D1360" s="568"/>
      <c r="E1360" s="571"/>
      <c r="F1360" s="569"/>
    </row>
    <row r="1361" spans="1:6" ht="20.25">
      <c r="A1361" s="570"/>
      <c r="B1361" s="568"/>
      <c r="C1361" s="568"/>
      <c r="D1361" s="568"/>
      <c r="E1361" s="571"/>
      <c r="F1361" s="569"/>
    </row>
    <row r="1362" spans="1:6" ht="20.25">
      <c r="A1362" s="570"/>
      <c r="B1362" s="568"/>
      <c r="C1362" s="568"/>
      <c r="D1362" s="568"/>
      <c r="E1362" s="571"/>
      <c r="F1362" s="569"/>
    </row>
    <row r="1363" spans="1:6" ht="20.25">
      <c r="A1363" s="570"/>
      <c r="B1363" s="568"/>
      <c r="C1363" s="568"/>
      <c r="D1363" s="568"/>
      <c r="E1363" s="571"/>
      <c r="F1363" s="569"/>
    </row>
    <row r="1364" spans="1:6" ht="20.25">
      <c r="A1364" s="570"/>
      <c r="B1364" s="568"/>
      <c r="C1364" s="568"/>
      <c r="D1364" s="568"/>
      <c r="E1364" s="571"/>
      <c r="F1364" s="569"/>
    </row>
    <row r="1365" spans="1:6" ht="20.25">
      <c r="A1365" s="570"/>
      <c r="B1365" s="568"/>
      <c r="C1365" s="568"/>
      <c r="D1365" s="568"/>
      <c r="E1365" s="571"/>
      <c r="F1365" s="569"/>
    </row>
    <row r="1366" spans="1:6" ht="20.25">
      <c r="A1366" s="570"/>
      <c r="B1366" s="568"/>
      <c r="C1366" s="568"/>
      <c r="D1366" s="568"/>
      <c r="E1366" s="571"/>
      <c r="F1366" s="569"/>
    </row>
    <row r="1367" spans="1:6" ht="20.25">
      <c r="A1367" s="570"/>
      <c r="B1367" s="568"/>
      <c r="C1367" s="568"/>
      <c r="D1367" s="568"/>
      <c r="E1367" s="571"/>
      <c r="F1367" s="569"/>
    </row>
    <row r="1368" spans="1:6" ht="20.25">
      <c r="A1368" s="570"/>
      <c r="B1368" s="568"/>
      <c r="C1368" s="568"/>
      <c r="D1368" s="568"/>
      <c r="E1368" s="571"/>
      <c r="F1368" s="569"/>
    </row>
    <row r="1369" spans="1:6" ht="20.25">
      <c r="A1369" s="570"/>
      <c r="B1369" s="568"/>
      <c r="C1369" s="568"/>
      <c r="D1369" s="568"/>
      <c r="E1369" s="571"/>
      <c r="F1369" s="569"/>
    </row>
    <row r="1370" spans="1:6" ht="20.25">
      <c r="A1370" s="570"/>
      <c r="B1370" s="568"/>
      <c r="C1370" s="568"/>
      <c r="D1370" s="568"/>
      <c r="E1370" s="571"/>
      <c r="F1370" s="569"/>
    </row>
    <row r="1371" spans="1:6" ht="20.25">
      <c r="A1371" s="570"/>
      <c r="B1371" s="568"/>
      <c r="C1371" s="568"/>
      <c r="D1371" s="568"/>
      <c r="E1371" s="571"/>
      <c r="F1371" s="569"/>
    </row>
    <row r="1372" spans="1:6" ht="20.25">
      <c r="A1372" s="570"/>
      <c r="B1372" s="568"/>
      <c r="C1372" s="568"/>
      <c r="D1372" s="568"/>
      <c r="E1372" s="571"/>
      <c r="F1372" s="569"/>
    </row>
    <row r="1373" spans="1:6" ht="20.25">
      <c r="A1373" s="570"/>
      <c r="B1373" s="568"/>
      <c r="C1373" s="568"/>
      <c r="D1373" s="568"/>
      <c r="E1373" s="571"/>
      <c r="F1373" s="569"/>
    </row>
    <row r="1374" spans="1:6" ht="20.25">
      <c r="A1374" s="570"/>
      <c r="B1374" s="568"/>
      <c r="C1374" s="568"/>
      <c r="D1374" s="568"/>
      <c r="E1374" s="571"/>
      <c r="F1374" s="569"/>
    </row>
    <row r="1375" spans="1:6" ht="20.25">
      <c r="A1375" s="570"/>
      <c r="B1375" s="568"/>
      <c r="C1375" s="568"/>
      <c r="D1375" s="568"/>
      <c r="E1375" s="571"/>
      <c r="F1375" s="569"/>
    </row>
    <row r="1376" spans="1:6" ht="20.25">
      <c r="A1376" s="570"/>
      <c r="B1376" s="568"/>
      <c r="C1376" s="568"/>
      <c r="D1376" s="568"/>
      <c r="E1376" s="571"/>
      <c r="F1376" s="569"/>
    </row>
    <row r="1377" spans="1:6" ht="20.25">
      <c r="A1377" s="570"/>
      <c r="B1377" s="568"/>
      <c r="C1377" s="568"/>
      <c r="D1377" s="568"/>
      <c r="E1377" s="571"/>
      <c r="F1377" s="569"/>
    </row>
    <row r="1378" spans="1:6" ht="20.25">
      <c r="A1378" s="570"/>
      <c r="B1378" s="568"/>
      <c r="C1378" s="568"/>
      <c r="D1378" s="568"/>
      <c r="E1378" s="571"/>
      <c r="F1378" s="569"/>
    </row>
    <row r="1379" spans="1:6" ht="20.25">
      <c r="A1379" s="570"/>
      <c r="B1379" s="568"/>
      <c r="C1379" s="568"/>
      <c r="D1379" s="568"/>
      <c r="E1379" s="571"/>
      <c r="F1379" s="569"/>
    </row>
    <row r="1380" spans="1:6" ht="20.25">
      <c r="A1380" s="570"/>
      <c r="B1380" s="568"/>
      <c r="C1380" s="568"/>
      <c r="D1380" s="568"/>
      <c r="E1380" s="571"/>
      <c r="F1380" s="569"/>
    </row>
    <row r="1381" spans="1:6" ht="20.25">
      <c r="A1381" s="570"/>
      <c r="B1381" s="568"/>
      <c r="C1381" s="568"/>
      <c r="D1381" s="568"/>
      <c r="E1381" s="571"/>
      <c r="F1381" s="569"/>
    </row>
    <row r="1382" spans="1:6" ht="20.25">
      <c r="A1382" s="570"/>
      <c r="B1382" s="568"/>
      <c r="C1382" s="568"/>
      <c r="D1382" s="568"/>
      <c r="E1382" s="571"/>
      <c r="F1382" s="569"/>
    </row>
    <row r="1383" spans="1:6" ht="20.25">
      <c r="A1383" s="570"/>
      <c r="B1383" s="568"/>
      <c r="C1383" s="568"/>
      <c r="D1383" s="568"/>
      <c r="E1383" s="571"/>
      <c r="F1383" s="569"/>
    </row>
    <row r="1384" spans="1:6" ht="20.25">
      <c r="A1384" s="570"/>
      <c r="B1384" s="568"/>
      <c r="C1384" s="568"/>
      <c r="D1384" s="568"/>
      <c r="E1384" s="571"/>
      <c r="F1384" s="569"/>
    </row>
    <row r="1385" spans="1:6" ht="20.25">
      <c r="A1385" s="570"/>
      <c r="B1385" s="568"/>
      <c r="C1385" s="568"/>
      <c r="D1385" s="568"/>
      <c r="E1385" s="571"/>
      <c r="F1385" s="569"/>
    </row>
    <row r="1386" spans="1:6" ht="20.25">
      <c r="A1386" s="570"/>
      <c r="B1386" s="568"/>
      <c r="C1386" s="568"/>
      <c r="D1386" s="568"/>
      <c r="E1386" s="571"/>
      <c r="F1386" s="569"/>
    </row>
    <row r="1387" spans="1:6" ht="20.25">
      <c r="A1387" s="570"/>
      <c r="B1387" s="568"/>
      <c r="C1387" s="568"/>
      <c r="D1387" s="568"/>
      <c r="E1387" s="571"/>
      <c r="F1387" s="569"/>
    </row>
    <row r="1388" spans="1:6" ht="20.25">
      <c r="A1388" s="570"/>
      <c r="B1388" s="568"/>
      <c r="C1388" s="568"/>
      <c r="D1388" s="568"/>
      <c r="E1388" s="571"/>
      <c r="F1388" s="569"/>
    </row>
    <row r="1389" spans="1:6" ht="20.25">
      <c r="A1389" s="570"/>
      <c r="B1389" s="568"/>
      <c r="C1389" s="568"/>
      <c r="D1389" s="568"/>
      <c r="E1389" s="571"/>
      <c r="F1389" s="569"/>
    </row>
    <row r="1390" spans="1:6" ht="20.25">
      <c r="A1390" s="570"/>
      <c r="B1390" s="568"/>
      <c r="C1390" s="568"/>
      <c r="D1390" s="568"/>
      <c r="E1390" s="571"/>
      <c r="F1390" s="569"/>
    </row>
    <row r="1391" spans="1:6" ht="20.25">
      <c r="A1391" s="570"/>
      <c r="B1391" s="568"/>
      <c r="C1391" s="568"/>
      <c r="D1391" s="568"/>
      <c r="E1391" s="571"/>
      <c r="F1391" s="569"/>
    </row>
    <row r="1392" spans="1:6" ht="20.25">
      <c r="A1392" s="570"/>
      <c r="B1392" s="568"/>
      <c r="C1392" s="568"/>
      <c r="D1392" s="568"/>
      <c r="E1392" s="571"/>
      <c r="F1392" s="569"/>
    </row>
    <row r="1393" spans="1:6" ht="20.25">
      <c r="A1393" s="570"/>
      <c r="B1393" s="568"/>
      <c r="C1393" s="568"/>
      <c r="D1393" s="568"/>
      <c r="E1393" s="571"/>
      <c r="F1393" s="569"/>
    </row>
    <row r="1394" spans="1:6" ht="20.25">
      <c r="A1394" s="570"/>
      <c r="B1394" s="568"/>
      <c r="C1394" s="568"/>
      <c r="D1394" s="568"/>
      <c r="E1394" s="571"/>
      <c r="F1394" s="569"/>
    </row>
    <row r="1395" spans="1:6" ht="20.25">
      <c r="A1395" s="570"/>
      <c r="B1395" s="568"/>
      <c r="C1395" s="568"/>
      <c r="D1395" s="568"/>
      <c r="E1395" s="571"/>
      <c r="F1395" s="569"/>
    </row>
    <row r="1396" spans="1:6" ht="20.25">
      <c r="A1396" s="570"/>
      <c r="B1396" s="568"/>
      <c r="C1396" s="568"/>
      <c r="D1396" s="568"/>
      <c r="E1396" s="571"/>
      <c r="F1396" s="569"/>
    </row>
    <row r="1397" spans="1:6" ht="20.25">
      <c r="A1397" s="570"/>
      <c r="B1397" s="568"/>
      <c r="C1397" s="568"/>
      <c r="D1397" s="568"/>
      <c r="E1397" s="571"/>
      <c r="F1397" s="569"/>
    </row>
    <row r="1398" spans="1:6" ht="20.25">
      <c r="A1398" s="570"/>
      <c r="B1398" s="568"/>
      <c r="C1398" s="568"/>
      <c r="D1398" s="568"/>
      <c r="E1398" s="571"/>
      <c r="F1398" s="569"/>
    </row>
    <row r="1399" spans="1:6" ht="20.25">
      <c r="A1399" s="570"/>
      <c r="B1399" s="568"/>
      <c r="C1399" s="568"/>
      <c r="D1399" s="568"/>
      <c r="E1399" s="571"/>
      <c r="F1399" s="569"/>
    </row>
    <row r="1400" spans="1:6" ht="20.25">
      <c r="A1400" s="570"/>
      <c r="B1400" s="568"/>
      <c r="C1400" s="568"/>
      <c r="D1400" s="568"/>
      <c r="E1400" s="571"/>
      <c r="F1400" s="569"/>
    </row>
    <row r="1401" spans="1:6" ht="20.25">
      <c r="A1401" s="570"/>
      <c r="B1401" s="568"/>
      <c r="C1401" s="568"/>
      <c r="D1401" s="568"/>
      <c r="E1401" s="571"/>
      <c r="F1401" s="569"/>
    </row>
    <row r="1402" spans="1:6" ht="20.25">
      <c r="A1402" s="570"/>
      <c r="B1402" s="568"/>
      <c r="C1402" s="568"/>
      <c r="D1402" s="568"/>
      <c r="E1402" s="571"/>
      <c r="F1402" s="569"/>
    </row>
    <row r="1403" spans="1:6" ht="20.25">
      <c r="A1403" s="570"/>
      <c r="B1403" s="568"/>
      <c r="C1403" s="568"/>
      <c r="D1403" s="568"/>
      <c r="E1403" s="571"/>
      <c r="F1403" s="569"/>
    </row>
    <row r="1404" spans="1:6" ht="20.25">
      <c r="A1404" s="570"/>
      <c r="B1404" s="568"/>
      <c r="C1404" s="568"/>
      <c r="D1404" s="568"/>
      <c r="E1404" s="571"/>
      <c r="F1404" s="569"/>
    </row>
    <row r="1405" spans="1:6" ht="20.25">
      <c r="A1405" s="570"/>
      <c r="B1405" s="568"/>
      <c r="C1405" s="568"/>
      <c r="D1405" s="568"/>
      <c r="E1405" s="571"/>
      <c r="F1405" s="569"/>
    </row>
    <row r="1406" spans="1:6" ht="20.25">
      <c r="A1406" s="570"/>
      <c r="B1406" s="568"/>
      <c r="C1406" s="568"/>
      <c r="D1406" s="568"/>
      <c r="E1406" s="571"/>
      <c r="F1406" s="569"/>
    </row>
    <row r="1407" spans="1:6" ht="20.25">
      <c r="A1407" s="570"/>
      <c r="B1407" s="568"/>
      <c r="C1407" s="568"/>
      <c r="D1407" s="568"/>
      <c r="E1407" s="571"/>
      <c r="F1407" s="569"/>
    </row>
    <row r="1408" spans="1:6" ht="20.25">
      <c r="A1408" s="570"/>
      <c r="B1408" s="568"/>
      <c r="C1408" s="568"/>
      <c r="D1408" s="568"/>
      <c r="E1408" s="571"/>
      <c r="F1408" s="569"/>
    </row>
    <row r="1409" spans="1:6" ht="20.25">
      <c r="A1409" s="570"/>
      <c r="B1409" s="568"/>
      <c r="C1409" s="568"/>
      <c r="D1409" s="568"/>
      <c r="E1409" s="571"/>
      <c r="F1409" s="569"/>
    </row>
    <row r="1410" spans="1:6" ht="20.25">
      <c r="A1410" s="570"/>
      <c r="B1410" s="568"/>
      <c r="C1410" s="568"/>
      <c r="D1410" s="568"/>
      <c r="E1410" s="571"/>
      <c r="F1410" s="569"/>
    </row>
    <row r="1411" spans="1:6" ht="20.25">
      <c r="A1411" s="570"/>
      <c r="B1411" s="568"/>
      <c r="C1411" s="568"/>
      <c r="D1411" s="568"/>
      <c r="E1411" s="571"/>
      <c r="F1411" s="569"/>
    </row>
    <row r="1412" spans="1:6" ht="20.25">
      <c r="A1412" s="570"/>
      <c r="B1412" s="568"/>
      <c r="C1412" s="568"/>
      <c r="D1412" s="568"/>
      <c r="E1412" s="571"/>
      <c r="F1412" s="569"/>
    </row>
    <row r="1413" spans="1:6" ht="20.25">
      <c r="A1413" s="570"/>
      <c r="B1413" s="568"/>
      <c r="C1413" s="568"/>
      <c r="D1413" s="568"/>
      <c r="E1413" s="571"/>
      <c r="F1413" s="569"/>
    </row>
    <row r="1414" spans="1:6" ht="20.25">
      <c r="A1414" s="570"/>
      <c r="B1414" s="568"/>
      <c r="C1414" s="568"/>
      <c r="D1414" s="568"/>
      <c r="E1414" s="571"/>
      <c r="F1414" s="569"/>
    </row>
    <row r="1415" spans="1:6" ht="20.25">
      <c r="A1415" s="570"/>
      <c r="B1415" s="568"/>
      <c r="C1415" s="568"/>
      <c r="D1415" s="568"/>
      <c r="E1415" s="571"/>
      <c r="F1415" s="569"/>
    </row>
    <row r="1416" spans="1:6" ht="20.25">
      <c r="A1416" s="570"/>
      <c r="B1416" s="568"/>
      <c r="C1416" s="568"/>
      <c r="D1416" s="568"/>
      <c r="E1416" s="571"/>
      <c r="F1416" s="569"/>
    </row>
    <row r="1417" spans="1:6" ht="20.25">
      <c r="A1417" s="570"/>
      <c r="B1417" s="568"/>
      <c r="C1417" s="568"/>
      <c r="D1417" s="568"/>
      <c r="E1417" s="571"/>
      <c r="F1417" s="569"/>
    </row>
    <row r="1418" spans="1:6" ht="20.25">
      <c r="A1418" s="570"/>
      <c r="B1418" s="568"/>
      <c r="C1418" s="568"/>
      <c r="D1418" s="568"/>
      <c r="E1418" s="571"/>
      <c r="F1418" s="569"/>
    </row>
    <row r="1419" spans="1:6" ht="20.25">
      <c r="A1419" s="570"/>
      <c r="B1419" s="568"/>
      <c r="C1419" s="568"/>
      <c r="D1419" s="568"/>
      <c r="E1419" s="571"/>
      <c r="F1419" s="569"/>
    </row>
    <row r="1420" spans="1:6" ht="20.25">
      <c r="A1420" s="570"/>
      <c r="B1420" s="568"/>
      <c r="C1420" s="568"/>
      <c r="D1420" s="568"/>
      <c r="E1420" s="571"/>
      <c r="F1420" s="569"/>
    </row>
    <row r="1421" spans="1:6" ht="20.25">
      <c r="A1421" s="570"/>
      <c r="B1421" s="568"/>
      <c r="C1421" s="568"/>
      <c r="D1421" s="568"/>
      <c r="E1421" s="571"/>
      <c r="F1421" s="569"/>
    </row>
    <row r="1422" spans="1:6" ht="20.25">
      <c r="A1422" s="570"/>
      <c r="B1422" s="568"/>
      <c r="C1422" s="568"/>
      <c r="D1422" s="568"/>
      <c r="E1422" s="571"/>
      <c r="F1422" s="569"/>
    </row>
    <row r="1423" spans="1:6" ht="20.25">
      <c r="A1423" s="570"/>
      <c r="B1423" s="568"/>
      <c r="C1423" s="568"/>
      <c r="D1423" s="568"/>
      <c r="E1423" s="571"/>
      <c r="F1423" s="569"/>
    </row>
    <row r="1424" spans="1:6" ht="20.25">
      <c r="A1424" s="570"/>
      <c r="B1424" s="568"/>
      <c r="C1424" s="568"/>
      <c r="D1424" s="568"/>
      <c r="E1424" s="571"/>
      <c r="F1424" s="569"/>
    </row>
    <row r="1425" spans="1:6" ht="20.25">
      <c r="A1425" s="570"/>
      <c r="B1425" s="568"/>
      <c r="C1425" s="568"/>
      <c r="D1425" s="568"/>
      <c r="E1425" s="571"/>
      <c r="F1425" s="569"/>
    </row>
    <row r="1426" spans="1:6" ht="20.25">
      <c r="A1426" s="570"/>
      <c r="B1426" s="568"/>
      <c r="C1426" s="568"/>
      <c r="D1426" s="568"/>
      <c r="E1426" s="571"/>
      <c r="F1426" s="569"/>
    </row>
    <row r="1427" spans="1:6" ht="20.25">
      <c r="A1427" s="570"/>
      <c r="B1427" s="568"/>
      <c r="C1427" s="568"/>
      <c r="D1427" s="568"/>
      <c r="E1427" s="571"/>
      <c r="F1427" s="569"/>
    </row>
    <row r="1428" spans="1:6" ht="20.25">
      <c r="A1428" s="570"/>
      <c r="B1428" s="568"/>
      <c r="C1428" s="568"/>
      <c r="D1428" s="568"/>
      <c r="E1428" s="571"/>
      <c r="F1428" s="569"/>
    </row>
    <row r="1429" spans="1:6" ht="20.25">
      <c r="A1429" s="570"/>
      <c r="B1429" s="568"/>
      <c r="C1429" s="568"/>
      <c r="D1429" s="568"/>
      <c r="E1429" s="571"/>
      <c r="F1429" s="569"/>
    </row>
    <row r="1430" spans="1:6" ht="20.25">
      <c r="A1430" s="570"/>
      <c r="B1430" s="568"/>
      <c r="C1430" s="568"/>
      <c r="D1430" s="568"/>
      <c r="E1430" s="571"/>
      <c r="F1430" s="569"/>
    </row>
    <row r="1431" spans="1:6" ht="20.25">
      <c r="A1431" s="570"/>
      <c r="B1431" s="568"/>
      <c r="C1431" s="568"/>
      <c r="D1431" s="568"/>
      <c r="E1431" s="571"/>
      <c r="F1431" s="569"/>
    </row>
    <row r="1432" spans="1:6" ht="20.25">
      <c r="A1432" s="570"/>
      <c r="B1432" s="568"/>
      <c r="C1432" s="568"/>
      <c r="D1432" s="568"/>
      <c r="E1432" s="571"/>
      <c r="F1432" s="569"/>
    </row>
    <row r="1433" spans="1:6" ht="20.25">
      <c r="A1433" s="570"/>
      <c r="B1433" s="568"/>
      <c r="C1433" s="568"/>
      <c r="D1433" s="568"/>
      <c r="E1433" s="571"/>
      <c r="F1433" s="569"/>
    </row>
    <row r="1434" spans="1:6" ht="20.25">
      <c r="A1434" s="570"/>
      <c r="B1434" s="568"/>
      <c r="C1434" s="568"/>
      <c r="D1434" s="568"/>
      <c r="E1434" s="571"/>
      <c r="F1434" s="569"/>
    </row>
    <row r="1435" spans="1:6" ht="20.25">
      <c r="A1435" s="570"/>
      <c r="B1435" s="568"/>
      <c r="C1435" s="568"/>
      <c r="D1435" s="568"/>
      <c r="E1435" s="571"/>
      <c r="F1435" s="569"/>
    </row>
    <row r="1436" spans="1:6" ht="20.25">
      <c r="A1436" s="570"/>
      <c r="B1436" s="568"/>
      <c r="C1436" s="568"/>
      <c r="D1436" s="568"/>
      <c r="E1436" s="571"/>
      <c r="F1436" s="569"/>
    </row>
    <row r="1437" spans="1:6" ht="20.25">
      <c r="A1437" s="570"/>
      <c r="B1437" s="568"/>
      <c r="C1437" s="568"/>
      <c r="D1437" s="568"/>
      <c r="E1437" s="571"/>
      <c r="F1437" s="569"/>
    </row>
    <row r="1438" spans="1:6" ht="20.25">
      <c r="A1438" s="570"/>
      <c r="B1438" s="568"/>
      <c r="C1438" s="568"/>
      <c r="D1438" s="568"/>
      <c r="E1438" s="571"/>
      <c r="F1438" s="569"/>
    </row>
    <row r="1439" spans="1:6" ht="20.25">
      <c r="A1439" s="570"/>
      <c r="B1439" s="568"/>
      <c r="C1439" s="568"/>
      <c r="D1439" s="568"/>
      <c r="E1439" s="571"/>
      <c r="F1439" s="569"/>
    </row>
    <row r="1440" spans="1:6" ht="20.25">
      <c r="A1440" s="570"/>
      <c r="B1440" s="568"/>
      <c r="C1440" s="568"/>
      <c r="D1440" s="568"/>
      <c r="E1440" s="571"/>
      <c r="F1440" s="569"/>
    </row>
    <row r="1441" spans="1:6" ht="20.25">
      <c r="A1441" s="570"/>
      <c r="B1441" s="568"/>
      <c r="C1441" s="568"/>
      <c r="D1441" s="568"/>
      <c r="E1441" s="571"/>
      <c r="F1441" s="569"/>
    </row>
    <row r="1442" spans="1:6" ht="20.25">
      <c r="A1442" s="570"/>
      <c r="B1442" s="568"/>
      <c r="C1442" s="568"/>
      <c r="D1442" s="568"/>
      <c r="E1442" s="571"/>
      <c r="F1442" s="569"/>
    </row>
    <row r="1443" spans="1:6" ht="20.25">
      <c r="A1443" s="570"/>
      <c r="B1443" s="568"/>
      <c r="C1443" s="568"/>
      <c r="D1443" s="568"/>
      <c r="E1443" s="571"/>
      <c r="F1443" s="569"/>
    </row>
    <row r="1444" spans="1:6" ht="20.25">
      <c r="A1444" s="570"/>
      <c r="B1444" s="568"/>
      <c r="C1444" s="568"/>
      <c r="D1444" s="568"/>
      <c r="E1444" s="571"/>
      <c r="F1444" s="569"/>
    </row>
    <row r="1445" spans="1:6" ht="20.25">
      <c r="A1445" s="570"/>
      <c r="B1445" s="568"/>
      <c r="C1445" s="568"/>
      <c r="D1445" s="568"/>
      <c r="E1445" s="571"/>
      <c r="F1445" s="569"/>
    </row>
    <row r="1446" spans="1:6" ht="20.25">
      <c r="A1446" s="570"/>
      <c r="B1446" s="568"/>
      <c r="C1446" s="568"/>
      <c r="D1446" s="568"/>
      <c r="E1446" s="571"/>
      <c r="F1446" s="569"/>
    </row>
    <row r="1447" spans="1:6" ht="20.25">
      <c r="A1447" s="570"/>
      <c r="B1447" s="568"/>
      <c r="C1447" s="568"/>
      <c r="D1447" s="568"/>
      <c r="E1447" s="571"/>
      <c r="F1447" s="569"/>
    </row>
    <row r="1448" spans="1:6" ht="20.25">
      <c r="A1448" s="570"/>
      <c r="B1448" s="568"/>
      <c r="C1448" s="568"/>
      <c r="D1448" s="568"/>
      <c r="E1448" s="571"/>
      <c r="F1448" s="569"/>
    </row>
    <row r="1449" spans="1:6" ht="20.25">
      <c r="A1449" s="570"/>
      <c r="B1449" s="568"/>
      <c r="C1449" s="568"/>
      <c r="D1449" s="568"/>
      <c r="E1449" s="571"/>
      <c r="F1449" s="569"/>
    </row>
    <row r="1450" spans="1:6" ht="20.25">
      <c r="A1450" s="570"/>
      <c r="B1450" s="568"/>
      <c r="C1450" s="568"/>
      <c r="D1450" s="568"/>
      <c r="E1450" s="571"/>
      <c r="F1450" s="569"/>
    </row>
    <row r="1451" spans="1:6" ht="20.25">
      <c r="A1451" s="570"/>
      <c r="B1451" s="568"/>
      <c r="C1451" s="568"/>
      <c r="D1451" s="568"/>
      <c r="E1451" s="571"/>
      <c r="F1451" s="569"/>
    </row>
    <row r="1452" spans="1:6" ht="20.25">
      <c r="A1452" s="570"/>
      <c r="B1452" s="568"/>
      <c r="C1452" s="568"/>
      <c r="D1452" s="568"/>
      <c r="E1452" s="571"/>
      <c r="F1452" s="569"/>
    </row>
    <row r="1453" spans="1:6" ht="20.25">
      <c r="A1453" s="570"/>
      <c r="B1453" s="568"/>
      <c r="C1453" s="568"/>
      <c r="D1453" s="568"/>
      <c r="E1453" s="571"/>
      <c r="F1453" s="569"/>
    </row>
    <row r="1454" spans="1:6" ht="20.25">
      <c r="A1454" s="570"/>
      <c r="B1454" s="568"/>
      <c r="C1454" s="568"/>
      <c r="D1454" s="568"/>
      <c r="E1454" s="571"/>
      <c r="F1454" s="569"/>
    </row>
    <row r="1455" spans="1:6" ht="20.25">
      <c r="A1455" s="570"/>
      <c r="B1455" s="568"/>
      <c r="C1455" s="568"/>
      <c r="D1455" s="568"/>
      <c r="E1455" s="571"/>
      <c r="F1455" s="569"/>
    </row>
    <row r="1456" spans="1:6" ht="20.25">
      <c r="A1456" s="570"/>
      <c r="B1456" s="568"/>
      <c r="C1456" s="568"/>
      <c r="D1456" s="568"/>
      <c r="E1456" s="571"/>
      <c r="F1456" s="569"/>
    </row>
    <row r="1457" spans="1:6" ht="20.25">
      <c r="A1457" s="570"/>
      <c r="B1457" s="568"/>
      <c r="C1457" s="568"/>
      <c r="D1457" s="568"/>
      <c r="E1457" s="571"/>
      <c r="F1457" s="569"/>
    </row>
    <row r="1458" spans="1:6" ht="20.25">
      <c r="A1458" s="570"/>
      <c r="B1458" s="568"/>
      <c r="C1458" s="568"/>
      <c r="D1458" s="568"/>
      <c r="E1458" s="571"/>
      <c r="F1458" s="569"/>
    </row>
    <row r="1459" spans="1:6" ht="20.25">
      <c r="A1459" s="570"/>
      <c r="B1459" s="568"/>
      <c r="C1459" s="568"/>
      <c r="D1459" s="568"/>
      <c r="E1459" s="571"/>
      <c r="F1459" s="569"/>
    </row>
    <row r="1460" spans="1:6" ht="20.25">
      <c r="A1460" s="570"/>
      <c r="B1460" s="568"/>
      <c r="C1460" s="568"/>
      <c r="D1460" s="568"/>
      <c r="E1460" s="571"/>
      <c r="F1460" s="569"/>
    </row>
    <row r="1461" spans="1:6" ht="20.25">
      <c r="A1461" s="570"/>
      <c r="B1461" s="568"/>
      <c r="C1461" s="568"/>
      <c r="D1461" s="568"/>
      <c r="E1461" s="571"/>
      <c r="F1461" s="569"/>
    </row>
    <row r="1462" spans="1:6" ht="20.25">
      <c r="A1462" s="570"/>
      <c r="B1462" s="568"/>
      <c r="C1462" s="568"/>
      <c r="D1462" s="568"/>
      <c r="E1462" s="571"/>
      <c r="F1462" s="569"/>
    </row>
    <row r="1463" spans="1:6" ht="20.25">
      <c r="A1463" s="570"/>
      <c r="B1463" s="568"/>
      <c r="C1463" s="568"/>
      <c r="D1463" s="568"/>
      <c r="E1463" s="571"/>
      <c r="F1463" s="569"/>
    </row>
    <row r="1464" spans="1:6" ht="20.25">
      <c r="A1464" s="570"/>
      <c r="B1464" s="568"/>
      <c r="C1464" s="568"/>
      <c r="D1464" s="568"/>
      <c r="E1464" s="571"/>
      <c r="F1464" s="569"/>
    </row>
    <row r="1465" spans="1:6" ht="20.25">
      <c r="A1465" s="570"/>
      <c r="B1465" s="568"/>
      <c r="C1465" s="568"/>
      <c r="D1465" s="568"/>
      <c r="E1465" s="571"/>
      <c r="F1465" s="569"/>
    </row>
    <row r="1466" spans="1:6" ht="20.25">
      <c r="A1466" s="570"/>
      <c r="B1466" s="568"/>
      <c r="C1466" s="568"/>
      <c r="D1466" s="568"/>
      <c r="E1466" s="571"/>
      <c r="F1466" s="569"/>
    </row>
    <row r="1467" spans="1:6" ht="20.25">
      <c r="A1467" s="570"/>
      <c r="B1467" s="568"/>
      <c r="C1467" s="568"/>
      <c r="D1467" s="568"/>
      <c r="E1467" s="571"/>
      <c r="F1467" s="569"/>
    </row>
    <row r="1468" spans="1:6" ht="20.25">
      <c r="A1468" s="570"/>
      <c r="B1468" s="568"/>
      <c r="C1468" s="568"/>
      <c r="D1468" s="568"/>
      <c r="E1468" s="571"/>
      <c r="F1468" s="569"/>
    </row>
    <row r="1469" spans="1:6" ht="20.25">
      <c r="A1469" s="570"/>
      <c r="B1469" s="568"/>
      <c r="C1469" s="568"/>
      <c r="D1469" s="568"/>
      <c r="E1469" s="571"/>
      <c r="F1469" s="569"/>
    </row>
    <row r="1470" spans="1:6" ht="20.25">
      <c r="A1470" s="570"/>
      <c r="B1470" s="568"/>
      <c r="C1470" s="568"/>
      <c r="D1470" s="568"/>
      <c r="E1470" s="571"/>
      <c r="F1470" s="569"/>
    </row>
    <row r="1471" spans="1:6" ht="20.25">
      <c r="A1471" s="570"/>
      <c r="B1471" s="568"/>
      <c r="C1471" s="568"/>
      <c r="D1471" s="568"/>
      <c r="E1471" s="571"/>
      <c r="F1471" s="569"/>
    </row>
    <row r="1472" spans="1:6" ht="20.25">
      <c r="A1472" s="570"/>
      <c r="B1472" s="568"/>
      <c r="C1472" s="568"/>
      <c r="D1472" s="568"/>
      <c r="E1472" s="571"/>
      <c r="F1472" s="569"/>
    </row>
    <row r="1473" spans="1:6" ht="20.25">
      <c r="A1473" s="570"/>
      <c r="B1473" s="568"/>
      <c r="C1473" s="568"/>
      <c r="D1473" s="568"/>
      <c r="E1473" s="571"/>
      <c r="F1473" s="569"/>
    </row>
    <row r="1474" spans="1:6" ht="20.25">
      <c r="A1474" s="570"/>
      <c r="B1474" s="568"/>
      <c r="C1474" s="568"/>
      <c r="D1474" s="568"/>
      <c r="E1474" s="571"/>
      <c r="F1474" s="569"/>
    </row>
    <row r="1475" spans="1:6" ht="20.25">
      <c r="A1475" s="570"/>
      <c r="B1475" s="568"/>
      <c r="C1475" s="568"/>
      <c r="D1475" s="568"/>
      <c r="E1475" s="571"/>
      <c r="F1475" s="569"/>
    </row>
    <row r="1476" spans="1:6" ht="20.25">
      <c r="A1476" s="570"/>
      <c r="B1476" s="568"/>
      <c r="C1476" s="568"/>
      <c r="D1476" s="568"/>
      <c r="E1476" s="571"/>
      <c r="F1476" s="569"/>
    </row>
    <row r="1477" spans="1:6" ht="20.25">
      <c r="A1477" s="570"/>
      <c r="B1477" s="568"/>
      <c r="C1477" s="568"/>
      <c r="D1477" s="568"/>
      <c r="E1477" s="571"/>
      <c r="F1477" s="569"/>
    </row>
    <row r="1478" spans="1:6" ht="20.25">
      <c r="A1478" s="570"/>
      <c r="B1478" s="568"/>
      <c r="C1478" s="568"/>
      <c r="D1478" s="568"/>
      <c r="E1478" s="571"/>
      <c r="F1478" s="569"/>
    </row>
    <row r="1479" spans="1:6" ht="20.25">
      <c r="A1479" s="572"/>
      <c r="B1479" s="573"/>
      <c r="C1479" s="568"/>
      <c r="D1479" s="573"/>
      <c r="E1479" s="574"/>
      <c r="F1479" s="575"/>
    </row>
    <row r="1480" spans="1:6" ht="20.25">
      <c r="A1480" s="572"/>
      <c r="B1480" s="573"/>
      <c r="C1480" s="573"/>
      <c r="D1480" s="573"/>
      <c r="E1480" s="574"/>
      <c r="F1480" s="575"/>
    </row>
    <row r="1481" spans="1:6" ht="20.25">
      <c r="A1481" s="572"/>
      <c r="B1481" s="573"/>
      <c r="C1481" s="573"/>
      <c r="D1481" s="573"/>
      <c r="E1481" s="574"/>
      <c r="F1481" s="575"/>
    </row>
    <row r="1482" spans="1:6" ht="20.25">
      <c r="A1482" s="572"/>
      <c r="B1482" s="573"/>
      <c r="C1482" s="573"/>
      <c r="D1482" s="573"/>
      <c r="E1482" s="574"/>
      <c r="F1482" s="575"/>
    </row>
    <row r="1483" spans="1:6" ht="20.25">
      <c r="A1483" s="572"/>
      <c r="B1483" s="573"/>
      <c r="C1483" s="573"/>
      <c r="D1483" s="573"/>
      <c r="E1483" s="574"/>
      <c r="F1483" s="575"/>
    </row>
    <row r="1484" spans="1:6" ht="20.25">
      <c r="A1484" s="572"/>
      <c r="B1484" s="573"/>
      <c r="C1484" s="573"/>
      <c r="D1484" s="573"/>
      <c r="E1484" s="574"/>
      <c r="F1484" s="575"/>
    </row>
    <row r="1485" spans="1:6" ht="20.25">
      <c r="A1485" s="572"/>
      <c r="B1485" s="573"/>
      <c r="C1485" s="573"/>
      <c r="D1485" s="573"/>
      <c r="E1485" s="574"/>
      <c r="F1485" s="575"/>
    </row>
    <row r="1486" spans="1:6" ht="20.25">
      <c r="A1486" s="572"/>
      <c r="B1486" s="573"/>
      <c r="C1486" s="573"/>
      <c r="D1486" s="573"/>
      <c r="E1486" s="574"/>
      <c r="F1486" s="575"/>
    </row>
    <row r="1487" spans="1:6" ht="20.25">
      <c r="A1487" s="572"/>
      <c r="B1487" s="573"/>
      <c r="C1487" s="573"/>
      <c r="D1487" s="573"/>
      <c r="E1487" s="574"/>
      <c r="F1487" s="575"/>
    </row>
    <row r="1488" spans="1:6" ht="20.25">
      <c r="A1488" s="572"/>
      <c r="B1488" s="573"/>
      <c r="C1488" s="573"/>
      <c r="D1488" s="573"/>
      <c r="E1488" s="574"/>
      <c r="F1488" s="575"/>
    </row>
    <row r="1489" spans="1:6" ht="20.25">
      <c r="A1489" s="572"/>
      <c r="B1489" s="573"/>
      <c r="C1489" s="573"/>
      <c r="D1489" s="573"/>
      <c r="E1489" s="574"/>
      <c r="F1489" s="575"/>
    </row>
    <row r="1490" spans="1:6" ht="20.25">
      <c r="A1490" s="572"/>
      <c r="B1490" s="573"/>
      <c r="C1490" s="573"/>
      <c r="D1490" s="573"/>
      <c r="E1490" s="574"/>
      <c r="F1490" s="575"/>
    </row>
    <row r="1491" spans="1:6" ht="20.25">
      <c r="A1491" s="572"/>
      <c r="B1491" s="573"/>
      <c r="C1491" s="573"/>
      <c r="D1491" s="573"/>
      <c r="E1491" s="574"/>
      <c r="F1491" s="575"/>
    </row>
    <row r="1492" spans="1:6" ht="20.25">
      <c r="A1492" s="572"/>
      <c r="B1492" s="573"/>
      <c r="C1492" s="573"/>
      <c r="D1492" s="573"/>
      <c r="E1492" s="574"/>
      <c r="F1492" s="575"/>
    </row>
    <row r="1493" spans="1:6" ht="20.25">
      <c r="A1493" s="572"/>
      <c r="B1493" s="573"/>
      <c r="C1493" s="573"/>
      <c r="D1493" s="573"/>
      <c r="E1493" s="574"/>
      <c r="F1493" s="575"/>
    </row>
    <row r="1494" spans="1:6" ht="20.25">
      <c r="A1494" s="572"/>
      <c r="B1494" s="573"/>
      <c r="C1494" s="573"/>
      <c r="D1494" s="573"/>
      <c r="E1494" s="574"/>
      <c r="F1494" s="575"/>
    </row>
    <row r="1495" spans="1:6" ht="20.25">
      <c r="A1495" s="572"/>
      <c r="B1495" s="573"/>
      <c r="C1495" s="573"/>
      <c r="D1495" s="573"/>
      <c r="E1495" s="574"/>
      <c r="F1495" s="575"/>
    </row>
    <row r="1496" spans="1:6" ht="20.25">
      <c r="A1496" s="572"/>
      <c r="B1496" s="573"/>
      <c r="C1496" s="573"/>
      <c r="D1496" s="573"/>
      <c r="E1496" s="574"/>
      <c r="F1496" s="575"/>
    </row>
    <row r="1497" spans="1:6" ht="20.25">
      <c r="A1497" s="572"/>
      <c r="B1497" s="573"/>
      <c r="C1497" s="573"/>
      <c r="D1497" s="573"/>
      <c r="E1497" s="574"/>
      <c r="F1497" s="575"/>
    </row>
    <row r="1498" spans="1:6" ht="20.25">
      <c r="A1498" s="572"/>
      <c r="B1498" s="573"/>
      <c r="C1498" s="573"/>
      <c r="D1498" s="573"/>
      <c r="E1498" s="574"/>
      <c r="F1498" s="575"/>
    </row>
    <row r="1499" spans="1:6" ht="20.25">
      <c r="A1499" s="572"/>
      <c r="B1499" s="573"/>
      <c r="C1499" s="573"/>
      <c r="D1499" s="573"/>
      <c r="E1499" s="574"/>
      <c r="F1499" s="575"/>
    </row>
    <row r="1500" spans="1:6" ht="20.25">
      <c r="A1500" s="572"/>
      <c r="B1500" s="573"/>
      <c r="C1500" s="573"/>
      <c r="D1500" s="573"/>
      <c r="E1500" s="574"/>
      <c r="F1500" s="575"/>
    </row>
    <row r="1501" spans="1:6" ht="20.25">
      <c r="A1501" s="572"/>
      <c r="B1501" s="573"/>
      <c r="C1501" s="573"/>
      <c r="D1501" s="573"/>
      <c r="E1501" s="574"/>
      <c r="F1501" s="575"/>
    </row>
    <row r="1502" spans="1:6" ht="20.25">
      <c r="A1502" s="572"/>
      <c r="B1502" s="573"/>
      <c r="C1502" s="573"/>
      <c r="D1502" s="573"/>
      <c r="E1502" s="574"/>
      <c r="F1502" s="575"/>
    </row>
    <row r="1503" spans="1:6" ht="20.25">
      <c r="A1503" s="572"/>
      <c r="B1503" s="573"/>
      <c r="C1503" s="573"/>
      <c r="D1503" s="573"/>
      <c r="E1503" s="574"/>
      <c r="F1503" s="575"/>
    </row>
    <row r="1504" spans="1:6" ht="20.25">
      <c r="A1504" s="572"/>
      <c r="B1504" s="573"/>
      <c r="C1504" s="573"/>
      <c r="D1504" s="573"/>
      <c r="E1504" s="574"/>
      <c r="F1504" s="575"/>
    </row>
    <row r="1505" spans="1:6" ht="20.25">
      <c r="A1505" s="572"/>
      <c r="B1505" s="573"/>
      <c r="C1505" s="573"/>
      <c r="D1505" s="573"/>
      <c r="E1505" s="574"/>
      <c r="F1505" s="575"/>
    </row>
    <row r="1506" spans="1:6" ht="20.25">
      <c r="A1506" s="572"/>
      <c r="B1506" s="573"/>
      <c r="C1506" s="573"/>
      <c r="D1506" s="573"/>
      <c r="E1506" s="574"/>
      <c r="F1506" s="575"/>
    </row>
    <row r="1507" spans="1:6" ht="20.25">
      <c r="A1507" s="572"/>
      <c r="B1507" s="573"/>
      <c r="C1507" s="573"/>
      <c r="D1507" s="573"/>
      <c r="E1507" s="574"/>
      <c r="F1507" s="575"/>
    </row>
    <row r="1508" spans="1:6" ht="20.25">
      <c r="A1508" s="572"/>
      <c r="B1508" s="573"/>
      <c r="C1508" s="573"/>
      <c r="D1508" s="573"/>
      <c r="E1508" s="574"/>
      <c r="F1508" s="575"/>
    </row>
    <row r="1509" spans="1:6" ht="20.25">
      <c r="A1509" s="572"/>
      <c r="B1509" s="573"/>
      <c r="C1509" s="573"/>
      <c r="D1509" s="573"/>
      <c r="E1509" s="574"/>
      <c r="F1509" s="575"/>
    </row>
    <row r="1510" spans="1:6" ht="20.25">
      <c r="A1510" s="572"/>
      <c r="B1510" s="573"/>
      <c r="C1510" s="573"/>
      <c r="D1510" s="573"/>
      <c r="E1510" s="574"/>
      <c r="F1510" s="575"/>
    </row>
    <row r="1511" spans="1:6" ht="20.25">
      <c r="A1511" s="572"/>
      <c r="B1511" s="573"/>
      <c r="C1511" s="573"/>
      <c r="D1511" s="573"/>
      <c r="E1511" s="574"/>
      <c r="F1511" s="575"/>
    </row>
    <row r="1512" spans="1:6" ht="20.25">
      <c r="A1512" s="572"/>
      <c r="B1512" s="573"/>
      <c r="C1512" s="573"/>
      <c r="D1512" s="573"/>
      <c r="E1512" s="574"/>
      <c r="F1512" s="575"/>
    </row>
    <row r="1513" spans="1:6" ht="20.25">
      <c r="A1513" s="572"/>
      <c r="B1513" s="573"/>
      <c r="C1513" s="573"/>
      <c r="D1513" s="573"/>
      <c r="E1513" s="574"/>
      <c r="F1513" s="575"/>
    </row>
    <row r="1514" spans="1:6" ht="20.25">
      <c r="A1514" s="572"/>
      <c r="B1514" s="573"/>
      <c r="C1514" s="573"/>
      <c r="D1514" s="573"/>
      <c r="E1514" s="574"/>
      <c r="F1514" s="575"/>
    </row>
    <row r="1515" spans="1:6" ht="20.25">
      <c r="A1515" s="572"/>
      <c r="B1515" s="573"/>
      <c r="C1515" s="573"/>
      <c r="D1515" s="573"/>
      <c r="E1515" s="574"/>
      <c r="F1515" s="575"/>
    </row>
    <row r="1516" spans="1:6" ht="20.25">
      <c r="A1516" s="572"/>
      <c r="B1516" s="573"/>
      <c r="C1516" s="573"/>
      <c r="D1516" s="573"/>
      <c r="E1516" s="574"/>
      <c r="F1516" s="575"/>
    </row>
    <row r="1517" spans="1:6" ht="20.25">
      <c r="A1517" s="572"/>
      <c r="B1517" s="573"/>
      <c r="C1517" s="573"/>
      <c r="D1517" s="573"/>
      <c r="E1517" s="574"/>
      <c r="F1517" s="575"/>
    </row>
    <row r="1518" spans="1:6" ht="20.25">
      <c r="A1518" s="572"/>
      <c r="B1518" s="573"/>
      <c r="C1518" s="573"/>
      <c r="D1518" s="573"/>
      <c r="E1518" s="574"/>
      <c r="F1518" s="575"/>
    </row>
    <row r="1519" spans="1:6" ht="20.25">
      <c r="A1519" s="572"/>
      <c r="B1519" s="573"/>
      <c r="C1519" s="573"/>
      <c r="D1519" s="573"/>
      <c r="E1519" s="574"/>
      <c r="F1519" s="575"/>
    </row>
    <row r="1520" spans="1:6" ht="20.25">
      <c r="A1520" s="572"/>
      <c r="B1520" s="573"/>
      <c r="C1520" s="573"/>
      <c r="D1520" s="573"/>
      <c r="E1520" s="574"/>
      <c r="F1520" s="575"/>
    </row>
    <row r="1521" spans="1:6" ht="20.25">
      <c r="A1521" s="572"/>
      <c r="B1521" s="573"/>
      <c r="C1521" s="573"/>
      <c r="D1521" s="573"/>
      <c r="E1521" s="574"/>
      <c r="F1521" s="575"/>
    </row>
    <row r="1522" spans="1:6" ht="20.25">
      <c r="A1522" s="572"/>
      <c r="B1522" s="573"/>
      <c r="C1522" s="573"/>
      <c r="D1522" s="573"/>
      <c r="E1522" s="574"/>
      <c r="F1522" s="575"/>
    </row>
    <row r="1523" spans="1:6" ht="20.25">
      <c r="A1523" s="572"/>
      <c r="B1523" s="573"/>
      <c r="C1523" s="573"/>
      <c r="D1523" s="573"/>
      <c r="E1523" s="574"/>
      <c r="F1523" s="575"/>
    </row>
    <row r="1524" spans="1:6" ht="20.25">
      <c r="A1524" s="572"/>
      <c r="B1524" s="573"/>
      <c r="C1524" s="573"/>
      <c r="D1524" s="573"/>
      <c r="E1524" s="574"/>
      <c r="F1524" s="575"/>
    </row>
    <row r="1525" spans="1:6" ht="20.25">
      <c r="A1525" s="572"/>
      <c r="B1525" s="573"/>
      <c r="C1525" s="573"/>
      <c r="D1525" s="573"/>
      <c r="E1525" s="574"/>
      <c r="F1525" s="575"/>
    </row>
    <row r="1526" spans="1:6" ht="20.25">
      <c r="A1526" s="572"/>
      <c r="B1526" s="573"/>
      <c r="C1526" s="573"/>
      <c r="D1526" s="573"/>
      <c r="E1526" s="574"/>
      <c r="F1526" s="575"/>
    </row>
    <row r="1527" spans="1:6" ht="20.25">
      <c r="A1527" s="572"/>
      <c r="B1527" s="573"/>
      <c r="C1527" s="573"/>
      <c r="D1527" s="573"/>
      <c r="E1527" s="574"/>
      <c r="F1527" s="575"/>
    </row>
    <row r="1528" spans="1:6" ht="20.25">
      <c r="A1528" s="572"/>
      <c r="B1528" s="573"/>
      <c r="C1528" s="573"/>
      <c r="D1528" s="573"/>
      <c r="E1528" s="574"/>
      <c r="F1528" s="575"/>
    </row>
    <row r="1529" spans="1:6" ht="20.25">
      <c r="A1529" s="572"/>
      <c r="B1529" s="573"/>
      <c r="C1529" s="573"/>
      <c r="D1529" s="573"/>
      <c r="E1529" s="574"/>
      <c r="F1529" s="575"/>
    </row>
    <row r="1530" spans="1:6" ht="20.25">
      <c r="A1530" s="572"/>
      <c r="B1530" s="573"/>
      <c r="C1530" s="573"/>
      <c r="D1530" s="573"/>
      <c r="E1530" s="574"/>
      <c r="F1530" s="575"/>
    </row>
    <row r="1531" spans="1:6" ht="20.25">
      <c r="A1531" s="572"/>
      <c r="B1531" s="573"/>
      <c r="C1531" s="573"/>
      <c r="D1531" s="573"/>
      <c r="E1531" s="574"/>
      <c r="F1531" s="575"/>
    </row>
    <row r="1532" spans="1:6" ht="20.25">
      <c r="A1532" s="572"/>
      <c r="B1532" s="573"/>
      <c r="C1532" s="573"/>
      <c r="D1532" s="573"/>
      <c r="E1532" s="574"/>
      <c r="F1532" s="575"/>
    </row>
    <row r="1533" spans="1:6" ht="20.25">
      <c r="A1533" s="572"/>
      <c r="B1533" s="573"/>
      <c r="C1533" s="573"/>
      <c r="D1533" s="573"/>
      <c r="E1533" s="574"/>
      <c r="F1533" s="575"/>
    </row>
    <row r="1534" spans="1:6" ht="20.25">
      <c r="A1534" s="572"/>
      <c r="B1534" s="573"/>
      <c r="C1534" s="573"/>
      <c r="D1534" s="573"/>
      <c r="E1534" s="574"/>
      <c r="F1534" s="575"/>
    </row>
    <row r="1535" spans="1:6" ht="20.25">
      <c r="A1535" s="572"/>
      <c r="B1535" s="573"/>
      <c r="C1535" s="573"/>
      <c r="D1535" s="573"/>
      <c r="E1535" s="574"/>
      <c r="F1535" s="575"/>
    </row>
    <row r="1536" spans="1:6" ht="20.25">
      <c r="A1536" s="572"/>
      <c r="B1536" s="573"/>
      <c r="C1536" s="573"/>
      <c r="D1536" s="573"/>
      <c r="E1536" s="574"/>
      <c r="F1536" s="575"/>
    </row>
    <row r="1537" spans="1:6" ht="20.25">
      <c r="A1537" s="572"/>
      <c r="B1537" s="573"/>
      <c r="C1537" s="573"/>
      <c r="D1537" s="573"/>
      <c r="E1537" s="574"/>
      <c r="F1537" s="575"/>
    </row>
    <row r="1538" spans="1:6" ht="20.25">
      <c r="A1538" s="572"/>
      <c r="B1538" s="573"/>
      <c r="C1538" s="573"/>
      <c r="D1538" s="573"/>
      <c r="E1538" s="574"/>
      <c r="F1538" s="575"/>
    </row>
    <row r="1539" spans="1:6" ht="20.25">
      <c r="A1539" s="572"/>
      <c r="B1539" s="573"/>
      <c r="C1539" s="573"/>
      <c r="D1539" s="573"/>
      <c r="E1539" s="574"/>
      <c r="F1539" s="575"/>
    </row>
    <row r="1540" spans="1:6" ht="20.25">
      <c r="A1540" s="572"/>
      <c r="B1540" s="573"/>
      <c r="C1540" s="573"/>
      <c r="D1540" s="573"/>
      <c r="E1540" s="574"/>
      <c r="F1540" s="575"/>
    </row>
    <row r="1541" spans="1:6" ht="20.25">
      <c r="A1541" s="572"/>
      <c r="B1541" s="573"/>
      <c r="C1541" s="573"/>
      <c r="D1541" s="573"/>
      <c r="E1541" s="574"/>
      <c r="F1541" s="575"/>
    </row>
    <row r="1542" spans="1:6" ht="20.25">
      <c r="A1542" s="572"/>
      <c r="B1542" s="573"/>
      <c r="C1542" s="573"/>
      <c r="D1542" s="573"/>
      <c r="E1542" s="574"/>
      <c r="F1542" s="575"/>
    </row>
    <row r="1543" spans="1:6" ht="20.25">
      <c r="A1543" s="572"/>
      <c r="B1543" s="573"/>
      <c r="C1543" s="573"/>
      <c r="D1543" s="573"/>
      <c r="E1543" s="574"/>
      <c r="F1543" s="575"/>
    </row>
    <row r="1544" spans="1:6" ht="20.25">
      <c r="A1544" s="572"/>
      <c r="B1544" s="573"/>
      <c r="C1544" s="573"/>
      <c r="D1544" s="573"/>
      <c r="E1544" s="574"/>
      <c r="F1544" s="575"/>
    </row>
    <row r="1545" spans="1:6" ht="20.25">
      <c r="A1545" s="572"/>
      <c r="B1545" s="573"/>
      <c r="C1545" s="573"/>
      <c r="D1545" s="573"/>
      <c r="E1545" s="574"/>
      <c r="F1545" s="575"/>
    </row>
    <row r="1546" spans="1:6" ht="20.25">
      <c r="A1546" s="572"/>
      <c r="B1546" s="573"/>
      <c r="C1546" s="573"/>
      <c r="D1546" s="573"/>
      <c r="E1546" s="574"/>
      <c r="F1546" s="575"/>
    </row>
    <row r="1547" spans="1:6" ht="20.25">
      <c r="A1547" s="572"/>
      <c r="B1547" s="573"/>
      <c r="C1547" s="573"/>
      <c r="D1547" s="573"/>
      <c r="E1547" s="574"/>
      <c r="F1547" s="575"/>
    </row>
    <row r="1548" spans="1:6" ht="20.25">
      <c r="A1548" s="572"/>
      <c r="B1548" s="573"/>
      <c r="C1548" s="573"/>
      <c r="D1548" s="573"/>
      <c r="E1548" s="574"/>
      <c r="F1548" s="575"/>
    </row>
    <row r="1549" spans="1:6" ht="20.25">
      <c r="A1549" s="572"/>
      <c r="B1549" s="573"/>
      <c r="C1549" s="573"/>
      <c r="D1549" s="573"/>
      <c r="E1549" s="574"/>
      <c r="F1549" s="575"/>
    </row>
    <row r="1550" spans="1:6" ht="20.25">
      <c r="A1550" s="572"/>
      <c r="B1550" s="573"/>
      <c r="C1550" s="573"/>
      <c r="D1550" s="573"/>
      <c r="E1550" s="574"/>
      <c r="F1550" s="575"/>
    </row>
    <row r="1551" spans="1:6" ht="20.25">
      <c r="A1551" s="572"/>
      <c r="B1551" s="573"/>
      <c r="C1551" s="573"/>
      <c r="D1551" s="573"/>
      <c r="E1551" s="574"/>
      <c r="F1551" s="575"/>
    </row>
    <row r="1552" spans="1:6" ht="20.25">
      <c r="A1552" s="572"/>
      <c r="B1552" s="573"/>
      <c r="C1552" s="573"/>
      <c r="D1552" s="573"/>
      <c r="E1552" s="574"/>
      <c r="F1552" s="575"/>
    </row>
    <row r="1553" spans="1:6" ht="20.25">
      <c r="A1553" s="572"/>
      <c r="B1553" s="573"/>
      <c r="C1553" s="573"/>
      <c r="D1553" s="573"/>
      <c r="E1553" s="574"/>
      <c r="F1553" s="575"/>
    </row>
    <row r="1554" spans="1:6" ht="20.25">
      <c r="A1554" s="572"/>
      <c r="B1554" s="573"/>
      <c r="C1554" s="573"/>
      <c r="D1554" s="573"/>
      <c r="E1554" s="574"/>
      <c r="F1554" s="575"/>
    </row>
    <row r="1555" spans="1:6" ht="20.25">
      <c r="A1555" s="572"/>
      <c r="B1555" s="573"/>
      <c r="C1555" s="573"/>
      <c r="D1555" s="573"/>
      <c r="E1555" s="574"/>
      <c r="F1555" s="575"/>
    </row>
    <row r="1556" spans="1:6" ht="20.25">
      <c r="A1556" s="572"/>
      <c r="B1556" s="573"/>
      <c r="C1556" s="573"/>
      <c r="D1556" s="573"/>
      <c r="E1556" s="574"/>
      <c r="F1556" s="575"/>
    </row>
    <row r="1557" spans="1:6" ht="20.25">
      <c r="A1557" s="572"/>
      <c r="B1557" s="573"/>
      <c r="C1557" s="573"/>
      <c r="D1557" s="573"/>
      <c r="E1557" s="574"/>
      <c r="F1557" s="575"/>
    </row>
    <row r="1558" spans="1:6" ht="20.25">
      <c r="A1558" s="572"/>
      <c r="B1558" s="573"/>
      <c r="C1558" s="573"/>
      <c r="D1558" s="573"/>
      <c r="E1558" s="574"/>
      <c r="F1558" s="575"/>
    </row>
    <row r="1559" spans="1:6" ht="20.25">
      <c r="A1559" s="572"/>
      <c r="B1559" s="573"/>
      <c r="C1559" s="573"/>
      <c r="D1559" s="573"/>
      <c r="E1559" s="574"/>
      <c r="F1559" s="575"/>
    </row>
    <row r="1560" spans="1:6" ht="20.25">
      <c r="A1560" s="572"/>
      <c r="B1560" s="573"/>
      <c r="C1560" s="573"/>
      <c r="D1560" s="573"/>
      <c r="E1560" s="574"/>
      <c r="F1560" s="575"/>
    </row>
    <row r="1561" spans="1:6" ht="20.25">
      <c r="A1561" s="572"/>
      <c r="B1561" s="573"/>
      <c r="C1561" s="573"/>
      <c r="D1561" s="573"/>
      <c r="E1561" s="574"/>
      <c r="F1561" s="575"/>
    </row>
    <row r="1562" spans="1:6" ht="20.25">
      <c r="A1562" s="572"/>
      <c r="B1562" s="573"/>
      <c r="C1562" s="573"/>
      <c r="D1562" s="573"/>
      <c r="E1562" s="574"/>
      <c r="F1562" s="575"/>
    </row>
    <row r="1563" spans="1:6" ht="20.25">
      <c r="A1563" s="572"/>
      <c r="B1563" s="573"/>
      <c r="C1563" s="573"/>
      <c r="D1563" s="573"/>
      <c r="E1563" s="574"/>
      <c r="F1563" s="575"/>
    </row>
    <row r="1564" spans="1:6" ht="20.25">
      <c r="A1564" s="572"/>
      <c r="B1564" s="573"/>
      <c r="C1564" s="573"/>
      <c r="D1564" s="573"/>
      <c r="E1564" s="574"/>
      <c r="F1564" s="575"/>
    </row>
    <row r="1565" spans="1:6" ht="20.25">
      <c r="A1565" s="572"/>
      <c r="B1565" s="573"/>
      <c r="C1565" s="573"/>
      <c r="D1565" s="573"/>
      <c r="E1565" s="574"/>
      <c r="F1565" s="575"/>
    </row>
    <row r="1566" spans="1:6" ht="20.25">
      <c r="A1566" s="572"/>
      <c r="B1566" s="573"/>
      <c r="C1566" s="573"/>
      <c r="D1566" s="573"/>
      <c r="E1566" s="574"/>
      <c r="F1566" s="575"/>
    </row>
    <row r="1567" spans="1:6" ht="20.25">
      <c r="A1567" s="572"/>
      <c r="B1567" s="573"/>
      <c r="C1567" s="573"/>
      <c r="D1567" s="573"/>
      <c r="E1567" s="574"/>
      <c r="F1567" s="575"/>
    </row>
    <row r="1568" spans="1:6" ht="20.25">
      <c r="A1568" s="572"/>
      <c r="B1568" s="573"/>
      <c r="C1568" s="573"/>
      <c r="D1568" s="573"/>
      <c r="E1568" s="574"/>
      <c r="F1568" s="575"/>
    </row>
    <row r="1569" spans="1:6" ht="20.25">
      <c r="A1569" s="572"/>
      <c r="B1569" s="573"/>
      <c r="C1569" s="573"/>
      <c r="D1569" s="573"/>
      <c r="E1569" s="574"/>
      <c r="F1569" s="575"/>
    </row>
    <row r="1570" spans="1:6" ht="20.25">
      <c r="A1570" s="572"/>
      <c r="B1570" s="573"/>
      <c r="C1570" s="573"/>
      <c r="D1570" s="573"/>
      <c r="E1570" s="574"/>
      <c r="F1570" s="575"/>
    </row>
    <row r="1571" spans="1:6" ht="20.25">
      <c r="A1571" s="572"/>
      <c r="B1571" s="573"/>
      <c r="C1571" s="573"/>
      <c r="D1571" s="573"/>
      <c r="E1571" s="574"/>
      <c r="F1571" s="575"/>
    </row>
    <row r="1572" spans="1:6" ht="20.25">
      <c r="A1572" s="572"/>
      <c r="B1572" s="573"/>
      <c r="C1572" s="573"/>
      <c r="D1572" s="573"/>
      <c r="E1572" s="574"/>
      <c r="F1572" s="575"/>
    </row>
    <row r="1573" spans="1:6" ht="20.25">
      <c r="A1573" s="572"/>
      <c r="B1573" s="573"/>
      <c r="C1573" s="573"/>
      <c r="D1573" s="573"/>
      <c r="E1573" s="574"/>
      <c r="F1573" s="575"/>
    </row>
    <row r="1574" spans="1:6" ht="20.25">
      <c r="A1574" s="572"/>
      <c r="B1574" s="573"/>
      <c r="C1574" s="573"/>
      <c r="D1574" s="573"/>
      <c r="E1574" s="574"/>
      <c r="F1574" s="575"/>
    </row>
    <row r="1575" spans="1:6" ht="20.25">
      <c r="A1575" s="572"/>
      <c r="B1575" s="573"/>
      <c r="C1575" s="573"/>
      <c r="D1575" s="573"/>
      <c r="E1575" s="574"/>
      <c r="F1575" s="575"/>
    </row>
    <row r="1576" spans="1:6" ht="20.25">
      <c r="A1576" s="572"/>
      <c r="B1576" s="573"/>
      <c r="C1576" s="573"/>
      <c r="D1576" s="573"/>
      <c r="E1576" s="574"/>
      <c r="F1576" s="575"/>
    </row>
    <row r="1577" spans="1:6" ht="20.25">
      <c r="A1577" s="572"/>
      <c r="B1577" s="573"/>
      <c r="C1577" s="573"/>
      <c r="D1577" s="573"/>
      <c r="E1577" s="574"/>
      <c r="F1577" s="575"/>
    </row>
    <row r="1578" spans="1:6" ht="20.25">
      <c r="A1578" s="572"/>
      <c r="B1578" s="573"/>
      <c r="C1578" s="573"/>
      <c r="D1578" s="573"/>
      <c r="E1578" s="574"/>
      <c r="F1578" s="575"/>
    </row>
    <row r="1579" spans="1:6" ht="20.25">
      <c r="A1579" s="572"/>
      <c r="B1579" s="573"/>
      <c r="C1579" s="573"/>
      <c r="D1579" s="573"/>
      <c r="E1579" s="574"/>
      <c r="F1579" s="575"/>
    </row>
    <row r="1580" spans="1:6" ht="20.25">
      <c r="A1580" s="572"/>
      <c r="B1580" s="573"/>
      <c r="C1580" s="573"/>
      <c r="D1580" s="573"/>
      <c r="E1580" s="574"/>
      <c r="F1580" s="575"/>
    </row>
    <row r="1581" spans="1:6" ht="20.25">
      <c r="A1581" s="572"/>
      <c r="B1581" s="573"/>
      <c r="C1581" s="573"/>
      <c r="D1581" s="573"/>
      <c r="E1581" s="574"/>
      <c r="F1581" s="575"/>
    </row>
    <row r="1582" spans="1:6" ht="20.25">
      <c r="A1582" s="572"/>
      <c r="B1582" s="573"/>
      <c r="C1582" s="573"/>
      <c r="D1582" s="573"/>
      <c r="E1582" s="574"/>
      <c r="F1582" s="575"/>
    </row>
    <row r="1583" spans="1:6" ht="20.25">
      <c r="A1583" s="572"/>
      <c r="B1583" s="573"/>
      <c r="C1583" s="573"/>
      <c r="D1583" s="573"/>
      <c r="E1583" s="574"/>
      <c r="F1583" s="575"/>
    </row>
    <row r="1584" spans="1:6" ht="20.25">
      <c r="A1584" s="572"/>
      <c r="B1584" s="573"/>
      <c r="C1584" s="573"/>
      <c r="D1584" s="573"/>
      <c r="E1584" s="574"/>
      <c r="F1584" s="575"/>
    </row>
    <row r="1585" spans="1:6" ht="20.25">
      <c r="A1585" s="572"/>
      <c r="B1585" s="573"/>
      <c r="C1585" s="573"/>
      <c r="D1585" s="573"/>
      <c r="E1585" s="574"/>
      <c r="F1585" s="575"/>
    </row>
    <row r="1586" spans="1:6" ht="20.25">
      <c r="A1586" s="572"/>
      <c r="B1586" s="573"/>
      <c r="C1586" s="573"/>
      <c r="D1586" s="573"/>
      <c r="E1586" s="574"/>
      <c r="F1586" s="575"/>
    </row>
    <row r="1587" spans="1:6" ht="20.25">
      <c r="A1587" s="572"/>
      <c r="B1587" s="573"/>
      <c r="C1587" s="573"/>
      <c r="D1587" s="573"/>
      <c r="E1587" s="574"/>
      <c r="F1587" s="575"/>
    </row>
    <row r="1588" spans="1:6" ht="20.25">
      <c r="A1588" s="572"/>
      <c r="B1588" s="573"/>
      <c r="C1588" s="573"/>
      <c r="D1588" s="573"/>
      <c r="E1588" s="574"/>
      <c r="F1588" s="575"/>
    </row>
    <row r="1589" spans="1:6" ht="20.25">
      <c r="A1589" s="572"/>
      <c r="B1589" s="573"/>
      <c r="C1589" s="573"/>
      <c r="D1589" s="573"/>
      <c r="E1589" s="574"/>
      <c r="F1589" s="575"/>
    </row>
    <row r="1590" spans="1:6" ht="20.25">
      <c r="A1590" s="572"/>
      <c r="B1590" s="573"/>
      <c r="C1590" s="573"/>
      <c r="D1590" s="573"/>
      <c r="E1590" s="574"/>
      <c r="F1590" s="575"/>
    </row>
    <row r="1591" spans="1:6" ht="20.25">
      <c r="A1591" s="572"/>
      <c r="B1591" s="573"/>
      <c r="C1591" s="573"/>
      <c r="D1591" s="573"/>
      <c r="E1591" s="574"/>
      <c r="F1591" s="575"/>
    </row>
    <row r="1592" spans="1:6" ht="20.25">
      <c r="A1592" s="572"/>
      <c r="B1592" s="573"/>
      <c r="C1592" s="573"/>
      <c r="D1592" s="573"/>
      <c r="E1592" s="574"/>
      <c r="F1592" s="575"/>
    </row>
    <row r="1593" spans="1:6" ht="20.25">
      <c r="A1593" s="572"/>
      <c r="B1593" s="573"/>
      <c r="C1593" s="573"/>
      <c r="D1593" s="573"/>
      <c r="E1593" s="574"/>
      <c r="F1593" s="575"/>
    </row>
    <row r="1594" spans="1:6" ht="20.25">
      <c r="A1594" s="572"/>
      <c r="B1594" s="573"/>
      <c r="C1594" s="573"/>
      <c r="D1594" s="573"/>
      <c r="E1594" s="574"/>
      <c r="F1594" s="575"/>
    </row>
    <row r="1595" spans="1:6" ht="20.25">
      <c r="A1595" s="572"/>
      <c r="B1595" s="573"/>
      <c r="C1595" s="573"/>
      <c r="D1595" s="573"/>
      <c r="E1595" s="574"/>
      <c r="F1595" s="575"/>
    </row>
    <row r="1596" spans="1:6" ht="20.25">
      <c r="A1596" s="572"/>
      <c r="B1596" s="573"/>
      <c r="C1596" s="573"/>
      <c r="D1596" s="573"/>
      <c r="E1596" s="574"/>
      <c r="F1596" s="575"/>
    </row>
    <row r="1597" spans="1:6" ht="20.25">
      <c r="A1597" s="572"/>
      <c r="B1597" s="573"/>
      <c r="C1597" s="573"/>
      <c r="D1597" s="573"/>
      <c r="E1597" s="574"/>
      <c r="F1597" s="575"/>
    </row>
    <row r="1598" spans="1:6" ht="20.25">
      <c r="A1598" s="572"/>
      <c r="B1598" s="573"/>
      <c r="C1598" s="573"/>
      <c r="D1598" s="573"/>
      <c r="E1598" s="574"/>
      <c r="F1598" s="575"/>
    </row>
    <row r="1599" spans="1:6" ht="20.25">
      <c r="A1599" s="572"/>
      <c r="B1599" s="573"/>
      <c r="C1599" s="573"/>
      <c r="D1599" s="573"/>
      <c r="E1599" s="574"/>
      <c r="F1599" s="575"/>
    </row>
    <row r="1600" spans="1:6" ht="20.25">
      <c r="A1600" s="572"/>
      <c r="B1600" s="573"/>
      <c r="C1600" s="573"/>
      <c r="D1600" s="573"/>
      <c r="E1600" s="574"/>
      <c r="F1600" s="575"/>
    </row>
    <row r="1601" spans="1:6" ht="20.25">
      <c r="A1601" s="572"/>
      <c r="B1601" s="573"/>
      <c r="C1601" s="573"/>
      <c r="D1601" s="573"/>
      <c r="E1601" s="574"/>
      <c r="F1601" s="575"/>
    </row>
    <row r="1602" spans="1:6" ht="20.25">
      <c r="A1602" s="572"/>
      <c r="B1602" s="573"/>
      <c r="C1602" s="573"/>
      <c r="D1602" s="573"/>
      <c r="E1602" s="574"/>
      <c r="F1602" s="575"/>
    </row>
    <row r="1603" spans="1:6" ht="20.25">
      <c r="A1603" s="572"/>
      <c r="B1603" s="573"/>
      <c r="C1603" s="573"/>
      <c r="D1603" s="573"/>
      <c r="E1603" s="574"/>
      <c r="F1603" s="575"/>
    </row>
    <row r="1604" spans="1:6" ht="20.25">
      <c r="A1604" s="572"/>
      <c r="B1604" s="573"/>
      <c r="C1604" s="573"/>
      <c r="D1604" s="573"/>
      <c r="E1604" s="574"/>
      <c r="F1604" s="575"/>
    </row>
    <row r="1605" spans="1:6" ht="20.25">
      <c r="A1605" s="572"/>
      <c r="B1605" s="573"/>
      <c r="C1605" s="573"/>
      <c r="D1605" s="573"/>
      <c r="E1605" s="574"/>
      <c r="F1605" s="575"/>
    </row>
    <row r="1606" spans="1:6" ht="20.25">
      <c r="A1606" s="572"/>
      <c r="B1606" s="573"/>
      <c r="C1606" s="573"/>
      <c r="D1606" s="573"/>
      <c r="E1606" s="574"/>
      <c r="F1606" s="575"/>
    </row>
    <row r="1607" spans="1:6" ht="20.25">
      <c r="A1607" s="572"/>
      <c r="B1607" s="573"/>
      <c r="C1607" s="573"/>
      <c r="D1607" s="573"/>
      <c r="E1607" s="574"/>
      <c r="F1607" s="575"/>
    </row>
    <row r="1608" spans="1:6" ht="20.25">
      <c r="A1608" s="572"/>
      <c r="B1608" s="573"/>
      <c r="C1608" s="573"/>
      <c r="D1608" s="573"/>
      <c r="E1608" s="574"/>
      <c r="F1608" s="575"/>
    </row>
    <row r="1609" spans="1:6" ht="20.25">
      <c r="A1609" s="572"/>
      <c r="B1609" s="573"/>
      <c r="C1609" s="573"/>
      <c r="D1609" s="573"/>
      <c r="E1609" s="574"/>
      <c r="F1609" s="575"/>
    </row>
    <row r="1610" spans="1:6" ht="20.25">
      <c r="A1610" s="572"/>
      <c r="B1610" s="573"/>
      <c r="C1610" s="573"/>
      <c r="D1610" s="573"/>
      <c r="E1610" s="574"/>
      <c r="F1610" s="575"/>
    </row>
    <row r="1611" spans="1:6" ht="20.25">
      <c r="A1611" s="572"/>
      <c r="B1611" s="573"/>
      <c r="C1611" s="573"/>
      <c r="D1611" s="573"/>
      <c r="E1611" s="574"/>
      <c r="F1611" s="575"/>
    </row>
    <row r="1612" spans="1:6" ht="20.25">
      <c r="A1612" s="572"/>
      <c r="B1612" s="573"/>
      <c r="C1612" s="573"/>
      <c r="D1612" s="573"/>
      <c r="E1612" s="574"/>
      <c r="F1612" s="575"/>
    </row>
    <row r="1613" spans="1:6" ht="20.25">
      <c r="A1613" s="572"/>
      <c r="B1613" s="573"/>
      <c r="C1613" s="573"/>
      <c r="D1613" s="573"/>
      <c r="E1613" s="574"/>
      <c r="F1613" s="575"/>
    </row>
    <row r="1614" spans="1:6" ht="20.25">
      <c r="A1614" s="572"/>
      <c r="B1614" s="573"/>
      <c r="C1614" s="573"/>
      <c r="D1614" s="573"/>
      <c r="E1614" s="574"/>
      <c r="F1614" s="575"/>
    </row>
    <row r="1615" spans="1:6" ht="20.25">
      <c r="A1615" s="572"/>
      <c r="B1615" s="573"/>
      <c r="C1615" s="573"/>
      <c r="D1615" s="573"/>
      <c r="E1615" s="574"/>
      <c r="F1615" s="575"/>
    </row>
    <row r="1616" spans="1:6" ht="20.25">
      <c r="A1616" s="572"/>
      <c r="B1616" s="573"/>
      <c r="C1616" s="573"/>
      <c r="D1616" s="573"/>
      <c r="E1616" s="574"/>
      <c r="F1616" s="575"/>
    </row>
    <row r="1617" spans="1:6" ht="20.25">
      <c r="A1617" s="572"/>
      <c r="B1617" s="573"/>
      <c r="C1617" s="573"/>
      <c r="D1617" s="573"/>
      <c r="E1617" s="574"/>
      <c r="F1617" s="575"/>
    </row>
    <row r="1618" spans="1:6" ht="20.25">
      <c r="A1618" s="572"/>
      <c r="B1618" s="573"/>
      <c r="C1618" s="573"/>
      <c r="D1618" s="573"/>
      <c r="E1618" s="574"/>
      <c r="F1618" s="575"/>
    </row>
    <row r="1619" spans="1:6" ht="20.25">
      <c r="A1619" s="572"/>
      <c r="B1619" s="573"/>
      <c r="C1619" s="573"/>
      <c r="D1619" s="573"/>
      <c r="E1619" s="574"/>
      <c r="F1619" s="575"/>
    </row>
    <row r="1620" spans="1:6" ht="20.25">
      <c r="A1620" s="572"/>
      <c r="B1620" s="573"/>
      <c r="C1620" s="573"/>
      <c r="D1620" s="573"/>
      <c r="E1620" s="574"/>
      <c r="F1620" s="575"/>
    </row>
    <row r="1621" spans="1:6" ht="20.25">
      <c r="A1621" s="572"/>
      <c r="B1621" s="573"/>
      <c r="C1621" s="573"/>
      <c r="D1621" s="573"/>
      <c r="E1621" s="574"/>
      <c r="F1621" s="575"/>
    </row>
    <row r="1622" spans="1:6" ht="20.25">
      <c r="A1622" s="572"/>
      <c r="B1622" s="573"/>
      <c r="C1622" s="573"/>
      <c r="D1622" s="573"/>
      <c r="E1622" s="574"/>
      <c r="F1622" s="575"/>
    </row>
    <row r="1623" spans="1:6" ht="20.25">
      <c r="A1623" s="572"/>
      <c r="B1623" s="573"/>
      <c r="C1623" s="573"/>
      <c r="D1623" s="573"/>
      <c r="E1623" s="574"/>
      <c r="F1623" s="575"/>
    </row>
    <row r="1624" spans="1:6" ht="20.25">
      <c r="A1624" s="572"/>
      <c r="B1624" s="573"/>
      <c r="C1624" s="573"/>
      <c r="D1624" s="573"/>
      <c r="E1624" s="574"/>
      <c r="F1624" s="575"/>
    </row>
    <row r="1625" spans="1:6" ht="20.25">
      <c r="A1625" s="572"/>
      <c r="B1625" s="573"/>
      <c r="C1625" s="573"/>
      <c r="D1625" s="573"/>
      <c r="E1625" s="574"/>
      <c r="F1625" s="575"/>
    </row>
    <row r="1626" spans="1:6" ht="20.25">
      <c r="A1626" s="572"/>
      <c r="B1626" s="573"/>
      <c r="C1626" s="573"/>
      <c r="D1626" s="573"/>
      <c r="E1626" s="574"/>
      <c r="F1626" s="575"/>
    </row>
    <row r="1627" spans="1:6" ht="20.25">
      <c r="A1627" s="572"/>
      <c r="B1627" s="573"/>
      <c r="C1627" s="573"/>
      <c r="D1627" s="573"/>
      <c r="E1627" s="574"/>
      <c r="F1627" s="575"/>
    </row>
    <row r="1628" spans="1:6" ht="20.25">
      <c r="A1628" s="572"/>
      <c r="B1628" s="573"/>
      <c r="C1628" s="573"/>
      <c r="D1628" s="573"/>
      <c r="E1628" s="574"/>
      <c r="F1628" s="575"/>
    </row>
    <row r="1629" spans="1:6" ht="20.25">
      <c r="A1629" s="572"/>
      <c r="B1629" s="573"/>
      <c r="C1629" s="573"/>
      <c r="D1629" s="573"/>
      <c r="E1629" s="574"/>
      <c r="F1629" s="575"/>
    </row>
    <row r="1630" spans="1:6" ht="20.25">
      <c r="A1630" s="572"/>
      <c r="B1630" s="573"/>
      <c r="C1630" s="573"/>
      <c r="D1630" s="573"/>
      <c r="E1630" s="574"/>
      <c r="F1630" s="575"/>
    </row>
    <row r="1631" spans="1:6" ht="20.25">
      <c r="A1631" s="572"/>
      <c r="B1631" s="573"/>
      <c r="C1631" s="573"/>
      <c r="D1631" s="573"/>
      <c r="E1631" s="574"/>
      <c r="F1631" s="575"/>
    </row>
    <row r="1632" spans="1:6" ht="20.25">
      <c r="A1632" s="572"/>
      <c r="B1632" s="573"/>
      <c r="C1632" s="573"/>
      <c r="D1632" s="573"/>
      <c r="E1632" s="574"/>
      <c r="F1632" s="575"/>
    </row>
    <row r="1633" spans="1:6" ht="20.25">
      <c r="A1633" s="572"/>
      <c r="B1633" s="573"/>
      <c r="C1633" s="573"/>
      <c r="D1633" s="573"/>
      <c r="E1633" s="574"/>
      <c r="F1633" s="575"/>
    </row>
    <row r="1634" spans="1:6" ht="20.25">
      <c r="A1634" s="572"/>
      <c r="B1634" s="573"/>
      <c r="C1634" s="573"/>
      <c r="D1634" s="573"/>
      <c r="E1634" s="574"/>
      <c r="F1634" s="575"/>
    </row>
    <row r="1635" spans="1:6" ht="20.25">
      <c r="A1635" s="572"/>
      <c r="B1635" s="573"/>
      <c r="C1635" s="573"/>
      <c r="D1635" s="573"/>
      <c r="E1635" s="574"/>
      <c r="F1635" s="575"/>
    </row>
    <row r="1636" spans="1:6" ht="20.25">
      <c r="A1636" s="572"/>
      <c r="B1636" s="573"/>
      <c r="C1636" s="573"/>
      <c r="D1636" s="573"/>
      <c r="E1636" s="574"/>
      <c r="F1636" s="575"/>
    </row>
    <row r="1637" spans="1:6" ht="20.25">
      <c r="A1637" s="572"/>
      <c r="B1637" s="573"/>
      <c r="C1637" s="573"/>
      <c r="D1637" s="573"/>
      <c r="E1637" s="574"/>
      <c r="F1637" s="575"/>
    </row>
    <row r="1638" spans="1:6" ht="20.25">
      <c r="A1638" s="572"/>
      <c r="B1638" s="573"/>
      <c r="C1638" s="573"/>
      <c r="D1638" s="573"/>
      <c r="E1638" s="574"/>
      <c r="F1638" s="575"/>
    </row>
    <row r="1639" spans="1:6" ht="20.25">
      <c r="A1639" s="572"/>
      <c r="B1639" s="573"/>
      <c r="C1639" s="573"/>
      <c r="D1639" s="573"/>
      <c r="E1639" s="574"/>
      <c r="F1639" s="575"/>
    </row>
    <row r="1640" spans="1:6" ht="20.25">
      <c r="A1640" s="572"/>
      <c r="B1640" s="573"/>
      <c r="C1640" s="573"/>
      <c r="D1640" s="573"/>
      <c r="E1640" s="574"/>
      <c r="F1640" s="575"/>
    </row>
    <row r="1641" spans="1:6" ht="20.25">
      <c r="A1641" s="572"/>
      <c r="B1641" s="573"/>
      <c r="C1641" s="573"/>
      <c r="D1641" s="573"/>
      <c r="E1641" s="574"/>
      <c r="F1641" s="575"/>
    </row>
    <row r="1642" spans="1:6" ht="20.25">
      <c r="A1642" s="572"/>
      <c r="B1642" s="573"/>
      <c r="C1642" s="573"/>
      <c r="D1642" s="573"/>
      <c r="E1642" s="574"/>
      <c r="F1642" s="575"/>
    </row>
    <row r="1643" spans="1:6" ht="20.25">
      <c r="A1643" s="572"/>
      <c r="B1643" s="573"/>
      <c r="C1643" s="573"/>
      <c r="D1643" s="573"/>
      <c r="E1643" s="574"/>
      <c r="F1643" s="575"/>
    </row>
    <row r="1644" spans="1:6" ht="20.25">
      <c r="A1644" s="572"/>
      <c r="B1644" s="573"/>
      <c r="C1644" s="573"/>
      <c r="D1644" s="573"/>
      <c r="E1644" s="574"/>
      <c r="F1644" s="575"/>
    </row>
    <row r="1645" spans="1:6" ht="20.25">
      <c r="A1645" s="572"/>
      <c r="B1645" s="573"/>
      <c r="C1645" s="573"/>
      <c r="D1645" s="573"/>
      <c r="E1645" s="574"/>
      <c r="F1645" s="575"/>
    </row>
    <row r="1646" spans="1:6" ht="20.25">
      <c r="A1646" s="572"/>
      <c r="B1646" s="573"/>
      <c r="C1646" s="573"/>
      <c r="D1646" s="573"/>
      <c r="E1646" s="574"/>
      <c r="F1646" s="575"/>
    </row>
    <row r="1647" spans="1:6" ht="20.25">
      <c r="A1647" s="572"/>
      <c r="B1647" s="573"/>
      <c r="C1647" s="573"/>
      <c r="D1647" s="573"/>
      <c r="E1647" s="574"/>
      <c r="F1647" s="575"/>
    </row>
    <row r="1648" spans="1:6" ht="20.25">
      <c r="A1648" s="572"/>
      <c r="B1648" s="573"/>
      <c r="C1648" s="573"/>
      <c r="D1648" s="573"/>
      <c r="E1648" s="574"/>
      <c r="F1648" s="575"/>
    </row>
    <row r="1649" spans="1:6" ht="20.25">
      <c r="A1649" s="572"/>
      <c r="B1649" s="573"/>
      <c r="C1649" s="573"/>
      <c r="D1649" s="573"/>
      <c r="E1649" s="574"/>
      <c r="F1649" s="575"/>
    </row>
    <row r="1650" spans="1:6" ht="20.25">
      <c r="A1650" s="572"/>
      <c r="B1650" s="573"/>
      <c r="C1650" s="573"/>
      <c r="D1650" s="573"/>
      <c r="E1650" s="574"/>
      <c r="F1650" s="575"/>
    </row>
    <row r="1651" spans="1:6" ht="20.25">
      <c r="A1651" s="572"/>
      <c r="B1651" s="573"/>
      <c r="C1651" s="573"/>
      <c r="D1651" s="573"/>
      <c r="E1651" s="574"/>
      <c r="F1651" s="575"/>
    </row>
    <row r="1652" spans="1:6" ht="20.25">
      <c r="A1652" s="572"/>
      <c r="B1652" s="573"/>
      <c r="C1652" s="573"/>
      <c r="D1652" s="573"/>
      <c r="E1652" s="574"/>
      <c r="F1652" s="575"/>
    </row>
    <row r="1653" spans="1:6" ht="20.25">
      <c r="A1653" s="572"/>
      <c r="B1653" s="573"/>
      <c r="C1653" s="573"/>
      <c r="D1653" s="573"/>
      <c r="E1653" s="574"/>
      <c r="F1653" s="575"/>
    </row>
    <row r="1654" spans="1:6" ht="20.25">
      <c r="A1654" s="572"/>
      <c r="B1654" s="573"/>
      <c r="C1654" s="573"/>
      <c r="D1654" s="573"/>
      <c r="E1654" s="574"/>
      <c r="F1654" s="575"/>
    </row>
    <row r="1655" spans="1:6" ht="20.25">
      <c r="A1655" s="572"/>
      <c r="B1655" s="573"/>
      <c r="C1655" s="573"/>
      <c r="D1655" s="573"/>
      <c r="E1655" s="574"/>
      <c r="F1655" s="575"/>
    </row>
    <row r="1656" spans="1:6" ht="20.25">
      <c r="A1656" s="572"/>
      <c r="B1656" s="573"/>
      <c r="C1656" s="573"/>
      <c r="D1656" s="573"/>
      <c r="E1656" s="574"/>
      <c r="F1656" s="575"/>
    </row>
    <row r="1657" spans="1:6" ht="20.25">
      <c r="A1657" s="572"/>
      <c r="B1657" s="573"/>
      <c r="C1657" s="573"/>
      <c r="D1657" s="573"/>
      <c r="E1657" s="574"/>
      <c r="F1657" s="575"/>
    </row>
    <row r="1658" spans="1:6" ht="20.25">
      <c r="A1658" s="572"/>
      <c r="B1658" s="573"/>
      <c r="C1658" s="573"/>
      <c r="D1658" s="573"/>
      <c r="E1658" s="574"/>
      <c r="F1658" s="575"/>
    </row>
    <row r="1659" spans="1:6" ht="20.25">
      <c r="A1659" s="572"/>
      <c r="B1659" s="573"/>
      <c r="C1659" s="573"/>
      <c r="D1659" s="573"/>
      <c r="E1659" s="574"/>
      <c r="F1659" s="575"/>
    </row>
    <row r="1660" spans="1:6" ht="20.25">
      <c r="A1660" s="572"/>
      <c r="B1660" s="573"/>
      <c r="C1660" s="573"/>
      <c r="D1660" s="573"/>
      <c r="E1660" s="574"/>
      <c r="F1660" s="575"/>
    </row>
    <row r="1661" spans="1:6" ht="20.25">
      <c r="A1661" s="572"/>
      <c r="B1661" s="573"/>
      <c r="C1661" s="573"/>
      <c r="D1661" s="573"/>
      <c r="E1661" s="574"/>
      <c r="F1661" s="575"/>
    </row>
    <row r="1662" spans="1:6" ht="20.25">
      <c r="A1662" s="572"/>
      <c r="B1662" s="573"/>
      <c r="C1662" s="573"/>
      <c r="D1662" s="573"/>
      <c r="E1662" s="574"/>
      <c r="F1662" s="575"/>
    </row>
    <row r="1663" spans="1:6" ht="20.25">
      <c r="A1663" s="572"/>
      <c r="B1663" s="573"/>
      <c r="C1663" s="573"/>
      <c r="D1663" s="573"/>
      <c r="E1663" s="574"/>
      <c r="F1663" s="575"/>
    </row>
    <row r="1664" spans="1:6" ht="20.25">
      <c r="A1664" s="572"/>
      <c r="B1664" s="573"/>
      <c r="C1664" s="573"/>
      <c r="D1664" s="573"/>
      <c r="E1664" s="574"/>
      <c r="F1664" s="575"/>
    </row>
    <row r="1665" spans="1:6" ht="20.25">
      <c r="A1665" s="572"/>
      <c r="B1665" s="573"/>
      <c r="C1665" s="573"/>
      <c r="D1665" s="573"/>
      <c r="E1665" s="574"/>
      <c r="F1665" s="575"/>
    </row>
    <row r="1666" spans="1:6" ht="20.25">
      <c r="A1666" s="572"/>
      <c r="B1666" s="573"/>
      <c r="C1666" s="573"/>
      <c r="D1666" s="573"/>
      <c r="E1666" s="574"/>
      <c r="F1666" s="575"/>
    </row>
    <row r="1667" spans="1:6" ht="20.25">
      <c r="A1667" s="572"/>
      <c r="B1667" s="573"/>
      <c r="C1667" s="573"/>
      <c r="D1667" s="573"/>
      <c r="E1667" s="574"/>
      <c r="F1667" s="575"/>
    </row>
    <row r="1668" spans="1:6" ht="20.25">
      <c r="A1668" s="572"/>
      <c r="B1668" s="573"/>
      <c r="C1668" s="573"/>
      <c r="D1668" s="573"/>
      <c r="E1668" s="574"/>
      <c r="F1668" s="575"/>
    </row>
    <row r="1669" spans="1:6" ht="20.25">
      <c r="A1669" s="572"/>
      <c r="B1669" s="573"/>
      <c r="C1669" s="573"/>
      <c r="D1669" s="573"/>
      <c r="E1669" s="574"/>
      <c r="F1669" s="575"/>
    </row>
    <row r="1670" spans="1:6" ht="20.25">
      <c r="A1670" s="572"/>
      <c r="B1670" s="573"/>
      <c r="C1670" s="573"/>
      <c r="D1670" s="573"/>
      <c r="E1670" s="574"/>
      <c r="F1670" s="575"/>
    </row>
    <row r="1671" spans="1:6" ht="20.25">
      <c r="A1671" s="572"/>
      <c r="B1671" s="573"/>
      <c r="C1671" s="573"/>
      <c r="D1671" s="573"/>
      <c r="E1671" s="574"/>
      <c r="F1671" s="575"/>
    </row>
    <row r="1672" spans="1:6" ht="20.25">
      <c r="A1672" s="572"/>
      <c r="B1672" s="573"/>
      <c r="C1672" s="573"/>
      <c r="D1672" s="573"/>
      <c r="E1672" s="574"/>
      <c r="F1672" s="575"/>
    </row>
    <row r="1673" spans="1:6" ht="20.25">
      <c r="A1673" s="572"/>
      <c r="B1673" s="573"/>
      <c r="C1673" s="573"/>
      <c r="D1673" s="573"/>
      <c r="E1673" s="574"/>
      <c r="F1673" s="575"/>
    </row>
    <row r="1674" spans="1:6" ht="20.25">
      <c r="A1674" s="572"/>
      <c r="B1674" s="573"/>
      <c r="C1674" s="573"/>
      <c r="D1674" s="573"/>
      <c r="E1674" s="574"/>
      <c r="F1674" s="575"/>
    </row>
    <row r="1675" spans="1:6" ht="20.25">
      <c r="A1675" s="572"/>
      <c r="B1675" s="573"/>
      <c r="C1675" s="573"/>
      <c r="D1675" s="573"/>
      <c r="E1675" s="574"/>
      <c r="F1675" s="575"/>
    </row>
    <row r="1676" spans="1:6" ht="20.25">
      <c r="A1676" s="572"/>
      <c r="B1676" s="573"/>
      <c r="C1676" s="573"/>
      <c r="D1676" s="573"/>
      <c r="E1676" s="574"/>
      <c r="F1676" s="575"/>
    </row>
    <row r="1677" spans="1:6" ht="20.25">
      <c r="A1677" s="572"/>
      <c r="B1677" s="573"/>
      <c r="C1677" s="573"/>
      <c r="D1677" s="573"/>
      <c r="E1677" s="574"/>
      <c r="F1677" s="575"/>
    </row>
    <row r="1678" spans="1:6" ht="20.25">
      <c r="A1678" s="572"/>
      <c r="B1678" s="573"/>
      <c r="C1678" s="573"/>
      <c r="D1678" s="573"/>
      <c r="E1678" s="574"/>
      <c r="F1678" s="575"/>
    </row>
    <row r="1679" spans="1:6" ht="20.25">
      <c r="A1679" s="572"/>
      <c r="B1679" s="573"/>
      <c r="C1679" s="573"/>
      <c r="D1679" s="573"/>
      <c r="E1679" s="574"/>
      <c r="F1679" s="575"/>
    </row>
    <row r="1680" spans="1:6" ht="20.25">
      <c r="A1680" s="572"/>
      <c r="B1680" s="573"/>
      <c r="C1680" s="573"/>
      <c r="D1680" s="573"/>
      <c r="E1680" s="574"/>
      <c r="F1680" s="575"/>
    </row>
    <row r="1681" spans="1:6" ht="20.25">
      <c r="A1681" s="572"/>
      <c r="B1681" s="573"/>
      <c r="C1681" s="573"/>
      <c r="D1681" s="573"/>
      <c r="E1681" s="574"/>
      <c r="F1681" s="575"/>
    </row>
    <row r="1682" spans="1:6" ht="20.25">
      <c r="A1682" s="572"/>
      <c r="B1682" s="573"/>
      <c r="C1682" s="573"/>
      <c r="D1682" s="573"/>
      <c r="E1682" s="574"/>
      <c r="F1682" s="575"/>
    </row>
    <row r="1683" spans="1:6" ht="20.25">
      <c r="A1683" s="572"/>
      <c r="B1683" s="573"/>
      <c r="C1683" s="573"/>
      <c r="D1683" s="573"/>
      <c r="E1683" s="574"/>
      <c r="F1683" s="575"/>
    </row>
    <row r="1684" spans="1:6" ht="20.25">
      <c r="A1684" s="572"/>
      <c r="B1684" s="573"/>
      <c r="C1684" s="573"/>
      <c r="D1684" s="573"/>
      <c r="E1684" s="574"/>
      <c r="F1684" s="575"/>
    </row>
    <row r="1685" spans="1:6" ht="20.25">
      <c r="A1685" s="572"/>
      <c r="B1685" s="573"/>
      <c r="C1685" s="573"/>
      <c r="D1685" s="573"/>
      <c r="E1685" s="574"/>
      <c r="F1685" s="575"/>
    </row>
    <row r="1686" spans="1:6" ht="20.25">
      <c r="A1686" s="572"/>
      <c r="B1686" s="573"/>
      <c r="C1686" s="573"/>
      <c r="D1686" s="573"/>
      <c r="E1686" s="574"/>
      <c r="F1686" s="575"/>
    </row>
    <row r="1687" spans="1:6" ht="20.25">
      <c r="A1687" s="572"/>
      <c r="B1687" s="573"/>
      <c r="C1687" s="573"/>
      <c r="D1687" s="573"/>
      <c r="E1687" s="574"/>
      <c r="F1687" s="575"/>
    </row>
    <row r="1688" spans="1:6" ht="20.25">
      <c r="A1688" s="572"/>
      <c r="B1688" s="573"/>
      <c r="C1688" s="573"/>
      <c r="D1688" s="573"/>
      <c r="E1688" s="574"/>
      <c r="F1688" s="575"/>
    </row>
    <row r="1689" spans="1:6" ht="20.25">
      <c r="A1689" s="572"/>
      <c r="B1689" s="573"/>
      <c r="C1689" s="573"/>
      <c r="D1689" s="573"/>
      <c r="E1689" s="574"/>
      <c r="F1689" s="575"/>
    </row>
    <row r="1690" spans="1:6" ht="20.25">
      <c r="A1690" s="572"/>
      <c r="B1690" s="573"/>
      <c r="C1690" s="573"/>
      <c r="D1690" s="573"/>
      <c r="E1690" s="574"/>
      <c r="F1690" s="575"/>
    </row>
    <row r="1691" spans="1:6" ht="20.25">
      <c r="A1691" s="572"/>
      <c r="B1691" s="573"/>
      <c r="C1691" s="573"/>
      <c r="D1691" s="573"/>
      <c r="E1691" s="574"/>
      <c r="F1691" s="575"/>
    </row>
    <row r="1692" spans="1:6" ht="20.25">
      <c r="A1692" s="572"/>
      <c r="B1692" s="573"/>
      <c r="C1692" s="573"/>
      <c r="D1692" s="573"/>
      <c r="E1692" s="574"/>
      <c r="F1692" s="575"/>
    </row>
    <row r="1693" spans="1:6" ht="20.25">
      <c r="A1693" s="572"/>
      <c r="B1693" s="573"/>
      <c r="C1693" s="573"/>
      <c r="D1693" s="573"/>
      <c r="E1693" s="574"/>
      <c r="F1693" s="575"/>
    </row>
    <row r="1694" spans="1:6" ht="20.25">
      <c r="A1694" s="572"/>
      <c r="B1694" s="573"/>
      <c r="C1694" s="573"/>
      <c r="D1694" s="573"/>
      <c r="E1694" s="574"/>
      <c r="F1694" s="575"/>
    </row>
    <row r="1695" spans="1:6" ht="20.25">
      <c r="A1695" s="572"/>
      <c r="B1695" s="573"/>
      <c r="C1695" s="573"/>
      <c r="D1695" s="573"/>
      <c r="E1695" s="574"/>
      <c r="F1695" s="575"/>
    </row>
    <row r="1696" spans="1:6" ht="20.25">
      <c r="A1696" s="572"/>
      <c r="B1696" s="573"/>
      <c r="C1696" s="573"/>
      <c r="D1696" s="573"/>
      <c r="E1696" s="574"/>
      <c r="F1696" s="575"/>
    </row>
    <row r="1697" spans="1:6" ht="20.25">
      <c r="A1697" s="572"/>
      <c r="B1697" s="573"/>
      <c r="C1697" s="573"/>
      <c r="D1697" s="573"/>
      <c r="E1697" s="574"/>
      <c r="F1697" s="575"/>
    </row>
    <row r="1698" spans="1:6" ht="20.25">
      <c r="A1698" s="572"/>
      <c r="B1698" s="573"/>
      <c r="C1698" s="573"/>
      <c r="D1698" s="573"/>
      <c r="E1698" s="574"/>
      <c r="F1698" s="575"/>
    </row>
    <row r="1699" spans="1:6" ht="20.25">
      <c r="A1699" s="572"/>
      <c r="B1699" s="573"/>
      <c r="C1699" s="573"/>
      <c r="D1699" s="573"/>
      <c r="E1699" s="574"/>
      <c r="F1699" s="575"/>
    </row>
    <row r="1700" spans="1:6" ht="20.25">
      <c r="A1700" s="572"/>
      <c r="B1700" s="573"/>
      <c r="C1700" s="573"/>
      <c r="D1700" s="573"/>
      <c r="E1700" s="574"/>
      <c r="F1700" s="575"/>
    </row>
    <row r="1701" spans="1:6" ht="20.25">
      <c r="A1701" s="572"/>
      <c r="B1701" s="573"/>
      <c r="C1701" s="573"/>
      <c r="D1701" s="573"/>
      <c r="E1701" s="574"/>
      <c r="F1701" s="575"/>
    </row>
    <row r="1702" spans="1:6" ht="20.25">
      <c r="A1702" s="572"/>
      <c r="B1702" s="573"/>
      <c r="C1702" s="573"/>
      <c r="D1702" s="573"/>
      <c r="E1702" s="574"/>
      <c r="F1702" s="575"/>
    </row>
    <row r="1703" spans="1:6" ht="20.25">
      <c r="A1703" s="572"/>
      <c r="B1703" s="573"/>
      <c r="C1703" s="573"/>
      <c r="D1703" s="573"/>
      <c r="E1703" s="574"/>
      <c r="F1703" s="575"/>
    </row>
    <row r="1704" spans="1:6" ht="20.25">
      <c r="A1704" s="572"/>
      <c r="B1704" s="573"/>
      <c r="C1704" s="573"/>
      <c r="D1704" s="573"/>
      <c r="E1704" s="574"/>
      <c r="F1704" s="575"/>
    </row>
    <row r="1705" spans="1:6" ht="20.25">
      <c r="A1705" s="572"/>
      <c r="B1705" s="573"/>
      <c r="C1705" s="573"/>
      <c r="D1705" s="573"/>
      <c r="E1705" s="574"/>
      <c r="F1705" s="575"/>
    </row>
    <row r="1706" spans="1:6" ht="20.25">
      <c r="A1706" s="572"/>
      <c r="B1706" s="573"/>
      <c r="C1706" s="573"/>
      <c r="D1706" s="573"/>
      <c r="E1706" s="574"/>
      <c r="F1706" s="575"/>
    </row>
    <row r="1707" spans="1:6" ht="20.25">
      <c r="A1707" s="572"/>
      <c r="B1707" s="573"/>
      <c r="C1707" s="573"/>
      <c r="D1707" s="573"/>
      <c r="E1707" s="574"/>
      <c r="F1707" s="575"/>
    </row>
    <row r="1708" spans="1:6" ht="20.25">
      <c r="A1708" s="572"/>
      <c r="B1708" s="573"/>
      <c r="C1708" s="573"/>
      <c r="D1708" s="573"/>
      <c r="E1708" s="574"/>
      <c r="F1708" s="575"/>
    </row>
    <row r="1709" spans="1:6" ht="20.25">
      <c r="A1709" s="572"/>
      <c r="B1709" s="573"/>
      <c r="C1709" s="573"/>
      <c r="D1709" s="573"/>
      <c r="E1709" s="574"/>
      <c r="F1709" s="575"/>
    </row>
    <row r="1710" spans="1:6" ht="20.25">
      <c r="A1710" s="572"/>
      <c r="B1710" s="573"/>
      <c r="C1710" s="573"/>
      <c r="D1710" s="573"/>
      <c r="E1710" s="574"/>
      <c r="F1710" s="575"/>
    </row>
    <row r="1711" spans="1:6" ht="20.25">
      <c r="A1711" s="572"/>
      <c r="B1711" s="573"/>
      <c r="C1711" s="573"/>
      <c r="D1711" s="573"/>
      <c r="E1711" s="574"/>
      <c r="F1711" s="575"/>
    </row>
    <row r="1712" spans="1:6" ht="20.25">
      <c r="A1712" s="572"/>
      <c r="B1712" s="573"/>
      <c r="C1712" s="573"/>
      <c r="D1712" s="573"/>
      <c r="E1712" s="574"/>
      <c r="F1712" s="575"/>
    </row>
    <row r="1713" spans="1:6" ht="20.25">
      <c r="A1713" s="572"/>
      <c r="B1713" s="573"/>
      <c r="C1713" s="573"/>
      <c r="D1713" s="573"/>
      <c r="E1713" s="574"/>
      <c r="F1713" s="575"/>
    </row>
    <row r="1714" spans="1:6" ht="20.25">
      <c r="A1714" s="572"/>
      <c r="B1714" s="573"/>
      <c r="C1714" s="573"/>
      <c r="D1714" s="573"/>
      <c r="E1714" s="574"/>
      <c r="F1714" s="575"/>
    </row>
    <row r="1715" spans="1:6" ht="20.25">
      <c r="A1715" s="572"/>
      <c r="B1715" s="573"/>
      <c r="C1715" s="573"/>
      <c r="D1715" s="573"/>
      <c r="E1715" s="574"/>
      <c r="F1715" s="575"/>
    </row>
    <row r="1716" spans="1:6" ht="20.25">
      <c r="A1716" s="572"/>
      <c r="B1716" s="573"/>
      <c r="C1716" s="573"/>
      <c r="D1716" s="573"/>
      <c r="E1716" s="574"/>
      <c r="F1716" s="575"/>
    </row>
    <row r="1717" spans="1:6" ht="20.25">
      <c r="A1717" s="572"/>
      <c r="B1717" s="573"/>
      <c r="C1717" s="573"/>
      <c r="D1717" s="573"/>
      <c r="E1717" s="574"/>
      <c r="F1717" s="575"/>
    </row>
    <row r="1718" spans="1:6" ht="20.25">
      <c r="A1718" s="572"/>
      <c r="B1718" s="573"/>
      <c r="C1718" s="573"/>
      <c r="D1718" s="573"/>
      <c r="E1718" s="574"/>
      <c r="F1718" s="575"/>
    </row>
    <row r="1719" spans="1:6" ht="20.25">
      <c r="A1719" s="572"/>
      <c r="B1719" s="573"/>
      <c r="C1719" s="573"/>
      <c r="D1719" s="573"/>
      <c r="E1719" s="574"/>
      <c r="F1719" s="575"/>
    </row>
    <row r="1720" spans="1:6" ht="20.25">
      <c r="A1720" s="572"/>
      <c r="B1720" s="573"/>
      <c r="C1720" s="573"/>
      <c r="D1720" s="573"/>
      <c r="E1720" s="574"/>
      <c r="F1720" s="575"/>
    </row>
    <row r="1721" spans="1:6" ht="20.25">
      <c r="A1721" s="572"/>
      <c r="B1721" s="573"/>
      <c r="C1721" s="573"/>
      <c r="D1721" s="573"/>
      <c r="E1721" s="574"/>
      <c r="F1721" s="575"/>
    </row>
    <row r="1722" spans="1:6" ht="20.25">
      <c r="A1722" s="572"/>
      <c r="B1722" s="573"/>
      <c r="C1722" s="573"/>
      <c r="D1722" s="573"/>
      <c r="E1722" s="574"/>
      <c r="F1722" s="575"/>
    </row>
    <row r="1723" spans="1:6" ht="20.25">
      <c r="A1723" s="572"/>
      <c r="B1723" s="573"/>
      <c r="C1723" s="573"/>
      <c r="D1723" s="573"/>
      <c r="E1723" s="574"/>
      <c r="F1723" s="575"/>
    </row>
    <row r="1724" spans="1:6" ht="20.25">
      <c r="A1724" s="572"/>
      <c r="B1724" s="573"/>
      <c r="C1724" s="573"/>
      <c r="D1724" s="573"/>
      <c r="E1724" s="574"/>
      <c r="F1724" s="575"/>
    </row>
    <row r="1725" spans="1:6" ht="20.25">
      <c r="A1725" s="572"/>
      <c r="B1725" s="573"/>
      <c r="C1725" s="573"/>
      <c r="D1725" s="573"/>
      <c r="E1725" s="574"/>
      <c r="F1725" s="575"/>
    </row>
    <row r="1726" spans="1:6" ht="20.25">
      <c r="A1726" s="572"/>
      <c r="B1726" s="573"/>
      <c r="C1726" s="573"/>
      <c r="D1726" s="573"/>
      <c r="E1726" s="574"/>
      <c r="F1726" s="575"/>
    </row>
    <row r="1727" spans="1:6" ht="20.25">
      <c r="A1727" s="572"/>
      <c r="B1727" s="573"/>
      <c r="C1727" s="573"/>
      <c r="D1727" s="573"/>
      <c r="E1727" s="574"/>
      <c r="F1727" s="575"/>
    </row>
    <row r="1728" spans="1:6" ht="20.25">
      <c r="A1728" s="572"/>
      <c r="B1728" s="573"/>
      <c r="C1728" s="573"/>
      <c r="D1728" s="573"/>
      <c r="E1728" s="574"/>
      <c r="F1728" s="575"/>
    </row>
    <row r="1729" spans="1:6" ht="20.25">
      <c r="A1729" s="572"/>
      <c r="B1729" s="573"/>
      <c r="C1729" s="573"/>
      <c r="D1729" s="573"/>
      <c r="E1729" s="574"/>
      <c r="F1729" s="575"/>
    </row>
    <row r="1730" spans="1:6" ht="20.25">
      <c r="A1730" s="572"/>
      <c r="B1730" s="573"/>
      <c r="C1730" s="573"/>
      <c r="D1730" s="573"/>
      <c r="E1730" s="574"/>
      <c r="F1730" s="575"/>
    </row>
    <row r="1731" spans="1:6" ht="20.25">
      <c r="A1731" s="572"/>
      <c r="B1731" s="573"/>
      <c r="C1731" s="573"/>
      <c r="D1731" s="573"/>
      <c r="E1731" s="574"/>
      <c r="F1731" s="575"/>
    </row>
    <row r="1732" spans="1:6" ht="20.25">
      <c r="A1732" s="572"/>
      <c r="B1732" s="573"/>
      <c r="C1732" s="573"/>
      <c r="D1732" s="573"/>
      <c r="E1732" s="574"/>
      <c r="F1732" s="575"/>
    </row>
    <row r="1733" spans="1:6" ht="20.25">
      <c r="A1733" s="572"/>
      <c r="B1733" s="573"/>
      <c r="C1733" s="573"/>
      <c r="D1733" s="573"/>
      <c r="E1733" s="574"/>
      <c r="F1733" s="575"/>
    </row>
    <row r="1734" spans="1:6" ht="20.25">
      <c r="A1734" s="572"/>
      <c r="B1734" s="573"/>
      <c r="C1734" s="573"/>
      <c r="D1734" s="573"/>
      <c r="E1734" s="574"/>
      <c r="F1734" s="575"/>
    </row>
    <row r="1735" spans="1:6" ht="20.25">
      <c r="A1735" s="572"/>
      <c r="B1735" s="573"/>
      <c r="C1735" s="573"/>
      <c r="D1735" s="573"/>
      <c r="E1735" s="574"/>
      <c r="F1735" s="575"/>
    </row>
    <row r="1736" spans="1:6" ht="20.25">
      <c r="A1736" s="572"/>
      <c r="B1736" s="573"/>
      <c r="C1736" s="573"/>
      <c r="D1736" s="573"/>
      <c r="E1736" s="574"/>
      <c r="F1736" s="575"/>
    </row>
    <row r="1737" spans="1:6" ht="20.25">
      <c r="A1737" s="572"/>
      <c r="B1737" s="573"/>
      <c r="C1737" s="573"/>
      <c r="D1737" s="573"/>
      <c r="E1737" s="574"/>
      <c r="F1737" s="575"/>
    </row>
    <row r="1738" spans="1:6" ht="20.25">
      <c r="A1738" s="572"/>
      <c r="B1738" s="573"/>
      <c r="C1738" s="573"/>
      <c r="D1738" s="573"/>
      <c r="E1738" s="574"/>
      <c r="F1738" s="575"/>
    </row>
    <row r="1739" spans="1:6" ht="20.25">
      <c r="A1739" s="572"/>
      <c r="B1739" s="573"/>
      <c r="C1739" s="573"/>
      <c r="D1739" s="573"/>
      <c r="E1739" s="574"/>
      <c r="F1739" s="575"/>
    </row>
    <row r="1740" spans="1:6" ht="20.25">
      <c r="A1740" s="572"/>
      <c r="B1740" s="573"/>
      <c r="C1740" s="573"/>
      <c r="D1740" s="573"/>
      <c r="E1740" s="574"/>
      <c r="F1740" s="575"/>
    </row>
    <row r="1741" spans="1:6" ht="20.25">
      <c r="A1741" s="572"/>
      <c r="B1741" s="573"/>
      <c r="C1741" s="573"/>
      <c r="D1741" s="573"/>
      <c r="E1741" s="574"/>
      <c r="F1741" s="575"/>
    </row>
    <row r="1742" spans="1:6" ht="20.25">
      <c r="A1742" s="572"/>
      <c r="B1742" s="573"/>
      <c r="C1742" s="573"/>
      <c r="D1742" s="573"/>
      <c r="E1742" s="574"/>
      <c r="F1742" s="575"/>
    </row>
    <row r="1743" spans="1:6" ht="20.25">
      <c r="A1743" s="572"/>
      <c r="B1743" s="573"/>
      <c r="C1743" s="573"/>
      <c r="D1743" s="573"/>
      <c r="E1743" s="574"/>
      <c r="F1743" s="575"/>
    </row>
    <row r="1744" spans="1:6" ht="20.25">
      <c r="A1744" s="572"/>
      <c r="B1744" s="573"/>
      <c r="C1744" s="573"/>
      <c r="D1744" s="573"/>
      <c r="E1744" s="574"/>
      <c r="F1744" s="575"/>
    </row>
    <row r="1745" spans="1:6" ht="20.25">
      <c r="A1745" s="572"/>
      <c r="B1745" s="573"/>
      <c r="C1745" s="573"/>
      <c r="D1745" s="573"/>
      <c r="E1745" s="574"/>
      <c r="F1745" s="575"/>
    </row>
    <row r="1746" spans="1:6" ht="20.25">
      <c r="A1746" s="572"/>
      <c r="B1746" s="573"/>
      <c r="C1746" s="573"/>
      <c r="D1746" s="573"/>
      <c r="E1746" s="574"/>
      <c r="F1746" s="575"/>
    </row>
    <row r="1747" spans="1:6" ht="20.25">
      <c r="A1747" s="572"/>
      <c r="B1747" s="573"/>
      <c r="C1747" s="573"/>
      <c r="D1747" s="573"/>
      <c r="E1747" s="574"/>
      <c r="F1747" s="575"/>
    </row>
    <row r="1748" spans="1:6" ht="20.25">
      <c r="A1748" s="572"/>
      <c r="B1748" s="573"/>
      <c r="C1748" s="573"/>
      <c r="D1748" s="573"/>
      <c r="E1748" s="574"/>
      <c r="F1748" s="575"/>
    </row>
    <row r="1749" spans="1:6" ht="20.25">
      <c r="A1749" s="572"/>
      <c r="B1749" s="573"/>
      <c r="C1749" s="573"/>
      <c r="D1749" s="573"/>
      <c r="E1749" s="574"/>
      <c r="F1749" s="575"/>
    </row>
    <row r="1750" spans="1:6" ht="20.25">
      <c r="A1750" s="572"/>
      <c r="B1750" s="573"/>
      <c r="C1750" s="573"/>
      <c r="D1750" s="573"/>
      <c r="E1750" s="574"/>
      <c r="F1750" s="575"/>
    </row>
    <row r="1751" spans="1:6" ht="20.25">
      <c r="A1751" s="572"/>
      <c r="B1751" s="573"/>
      <c r="C1751" s="573"/>
      <c r="D1751" s="573"/>
      <c r="E1751" s="574"/>
      <c r="F1751" s="575"/>
    </row>
    <row r="1752" spans="1:6" ht="20.25">
      <c r="A1752" s="572"/>
      <c r="B1752" s="573"/>
      <c r="C1752" s="573"/>
      <c r="D1752" s="573"/>
      <c r="E1752" s="574"/>
      <c r="F1752" s="575"/>
    </row>
    <row r="1753" spans="1:6" ht="20.25">
      <c r="A1753" s="572"/>
      <c r="B1753" s="573"/>
      <c r="C1753" s="573"/>
      <c r="D1753" s="573"/>
      <c r="E1753" s="574"/>
      <c r="F1753" s="575"/>
    </row>
    <row r="1754" spans="1:6" ht="20.25">
      <c r="A1754" s="572"/>
      <c r="B1754" s="573"/>
      <c r="C1754" s="573"/>
      <c r="D1754" s="573"/>
      <c r="E1754" s="574"/>
      <c r="F1754" s="575"/>
    </row>
    <row r="1755" spans="1:6" ht="20.25">
      <c r="A1755" s="572"/>
      <c r="B1755" s="573"/>
      <c r="C1755" s="573"/>
      <c r="D1755" s="573"/>
      <c r="E1755" s="574"/>
      <c r="F1755" s="575"/>
    </row>
    <row r="1756" spans="1:6" ht="20.25">
      <c r="A1756" s="572"/>
      <c r="B1756" s="573"/>
      <c r="C1756" s="573"/>
      <c r="D1756" s="573"/>
      <c r="E1756" s="574"/>
      <c r="F1756" s="575"/>
    </row>
    <row r="1757" spans="1:6" ht="20.25">
      <c r="A1757" s="572"/>
      <c r="B1757" s="573"/>
      <c r="C1757" s="573"/>
      <c r="D1757" s="573"/>
      <c r="E1757" s="574"/>
      <c r="F1757" s="575"/>
    </row>
    <row r="1758" spans="1:6" ht="20.25">
      <c r="A1758" s="572"/>
      <c r="B1758" s="573"/>
      <c r="C1758" s="573"/>
      <c r="D1758" s="573"/>
      <c r="E1758" s="574"/>
      <c r="F1758" s="575"/>
    </row>
    <row r="1759" spans="1:6" ht="20.25">
      <c r="A1759" s="572"/>
      <c r="B1759" s="573"/>
      <c r="C1759" s="573"/>
      <c r="D1759" s="573"/>
      <c r="E1759" s="574"/>
      <c r="F1759" s="575"/>
    </row>
    <row r="1760" spans="1:6" ht="20.25">
      <c r="A1760" s="572"/>
      <c r="B1760" s="573"/>
      <c r="C1760" s="573"/>
      <c r="D1760" s="573"/>
      <c r="E1760" s="574"/>
      <c r="F1760" s="575"/>
    </row>
    <row r="1761" spans="1:6" ht="20.25">
      <c r="A1761" s="572"/>
      <c r="B1761" s="573"/>
      <c r="C1761" s="573"/>
      <c r="D1761" s="573"/>
      <c r="E1761" s="574"/>
      <c r="F1761" s="575"/>
    </row>
    <row r="1762" spans="1:6" ht="20.25">
      <c r="A1762" s="572"/>
      <c r="B1762" s="573"/>
      <c r="C1762" s="573"/>
      <c r="D1762" s="573"/>
      <c r="E1762" s="574"/>
      <c r="F1762" s="575"/>
    </row>
    <row r="1763" spans="1:6" ht="20.25">
      <c r="A1763" s="572"/>
      <c r="B1763" s="573"/>
      <c r="C1763" s="573"/>
      <c r="D1763" s="573"/>
      <c r="E1763" s="574"/>
      <c r="F1763" s="575"/>
    </row>
    <row r="1764" spans="1:6" ht="20.25">
      <c r="A1764" s="572"/>
      <c r="B1764" s="573"/>
      <c r="C1764" s="573"/>
      <c r="D1764" s="573"/>
      <c r="E1764" s="574"/>
      <c r="F1764" s="575"/>
    </row>
    <row r="1765" spans="1:6" ht="20.25">
      <c r="A1765" s="572"/>
      <c r="B1765" s="573"/>
      <c r="C1765" s="573"/>
      <c r="D1765" s="573"/>
      <c r="E1765" s="574"/>
      <c r="F1765" s="575"/>
    </row>
    <row r="1766" spans="1:6" ht="20.25">
      <c r="A1766" s="572"/>
      <c r="B1766" s="573"/>
      <c r="C1766" s="573"/>
      <c r="D1766" s="573"/>
      <c r="E1766" s="574"/>
      <c r="F1766" s="575"/>
    </row>
    <row r="1767" spans="1:6" ht="20.25">
      <c r="A1767" s="572"/>
      <c r="B1767" s="573"/>
      <c r="C1767" s="573"/>
      <c r="D1767" s="573"/>
      <c r="E1767" s="574"/>
      <c r="F1767" s="575"/>
    </row>
    <row r="1768" spans="1:6" ht="20.25">
      <c r="A1768" s="572"/>
      <c r="B1768" s="573"/>
      <c r="C1768" s="573"/>
      <c r="D1768" s="573"/>
      <c r="E1768" s="574"/>
      <c r="F1768" s="575"/>
    </row>
    <row r="1769" spans="1:6" ht="20.25">
      <c r="A1769" s="572"/>
      <c r="B1769" s="573"/>
      <c r="C1769" s="573"/>
      <c r="D1769" s="573"/>
      <c r="E1769" s="574"/>
      <c r="F1769" s="575"/>
    </row>
    <row r="1770" spans="1:6" ht="20.25">
      <c r="A1770" s="572"/>
      <c r="B1770" s="573"/>
      <c r="C1770" s="573"/>
      <c r="D1770" s="573"/>
      <c r="E1770" s="574"/>
      <c r="F1770" s="575"/>
    </row>
    <row r="1771" spans="1:6" ht="20.25">
      <c r="A1771" s="572"/>
      <c r="B1771" s="573"/>
      <c r="C1771" s="573"/>
      <c r="D1771" s="573"/>
      <c r="E1771" s="574"/>
      <c r="F1771" s="575"/>
    </row>
    <row r="1772" spans="1:6" ht="20.25">
      <c r="A1772" s="572"/>
      <c r="B1772" s="573"/>
      <c r="C1772" s="573"/>
      <c r="D1772" s="573"/>
      <c r="E1772" s="574"/>
      <c r="F1772" s="575"/>
    </row>
    <row r="1773" spans="1:6" ht="20.25">
      <c r="A1773" s="572"/>
      <c r="B1773" s="573"/>
      <c r="C1773" s="573"/>
      <c r="D1773" s="573"/>
      <c r="E1773" s="574"/>
      <c r="F1773" s="575"/>
    </row>
    <row r="1774" spans="1:6" ht="20.25">
      <c r="A1774" s="572"/>
      <c r="B1774" s="573"/>
      <c r="C1774" s="573"/>
      <c r="D1774" s="573"/>
      <c r="E1774" s="574"/>
      <c r="F1774" s="575"/>
    </row>
    <row r="1775" spans="1:6" ht="20.25">
      <c r="A1775" s="572"/>
      <c r="B1775" s="573"/>
      <c r="C1775" s="573"/>
      <c r="D1775" s="573"/>
      <c r="E1775" s="574"/>
      <c r="F1775" s="575"/>
    </row>
    <row r="1776" spans="1:6" ht="20.25">
      <c r="A1776" s="572"/>
      <c r="B1776" s="573"/>
      <c r="C1776" s="573"/>
      <c r="D1776" s="573"/>
      <c r="E1776" s="574"/>
      <c r="F1776" s="575"/>
    </row>
    <row r="1777" spans="1:6" ht="20.25">
      <c r="A1777" s="572"/>
      <c r="B1777" s="573"/>
      <c r="C1777" s="573"/>
      <c r="D1777" s="573"/>
      <c r="E1777" s="574"/>
      <c r="F1777" s="575"/>
    </row>
    <row r="1778" spans="1:6" ht="20.25">
      <c r="A1778" s="572"/>
      <c r="B1778" s="573"/>
      <c r="C1778" s="573"/>
      <c r="D1778" s="573"/>
      <c r="E1778" s="574"/>
      <c r="F1778" s="575"/>
    </row>
    <row r="1779" spans="1:6" ht="20.25">
      <c r="A1779" s="572"/>
      <c r="B1779" s="573"/>
      <c r="C1779" s="573"/>
      <c r="D1779" s="573"/>
      <c r="E1779" s="574"/>
      <c r="F1779" s="575"/>
    </row>
    <row r="1780" spans="1:6" ht="20.25">
      <c r="A1780" s="572"/>
      <c r="B1780" s="573"/>
      <c r="C1780" s="573"/>
      <c r="D1780" s="573"/>
      <c r="E1780" s="574"/>
      <c r="F1780" s="575"/>
    </row>
    <row r="1781" spans="1:6" ht="20.25">
      <c r="A1781" s="572"/>
      <c r="B1781" s="573"/>
      <c r="C1781" s="573"/>
      <c r="D1781" s="573"/>
      <c r="E1781" s="574"/>
      <c r="F1781" s="575"/>
    </row>
    <row r="1782" spans="1:6" ht="20.25">
      <c r="A1782" s="572"/>
      <c r="B1782" s="573"/>
      <c r="C1782" s="573"/>
      <c r="D1782" s="573"/>
      <c r="E1782" s="574"/>
      <c r="F1782" s="575"/>
    </row>
    <row r="1783" spans="1:6" ht="20.25">
      <c r="A1783" s="572"/>
      <c r="B1783" s="573"/>
      <c r="C1783" s="573"/>
      <c r="D1783" s="573"/>
      <c r="E1783" s="574"/>
      <c r="F1783" s="575"/>
    </row>
    <row r="1784" spans="1:6" ht="20.25">
      <c r="A1784" s="572"/>
      <c r="B1784" s="573"/>
      <c r="C1784" s="573"/>
      <c r="D1784" s="573"/>
      <c r="E1784" s="574"/>
      <c r="F1784" s="575"/>
    </row>
    <row r="1785" spans="1:6" ht="20.25">
      <c r="A1785" s="572"/>
      <c r="B1785" s="573"/>
      <c r="C1785" s="573"/>
      <c r="D1785" s="573"/>
      <c r="E1785" s="574"/>
      <c r="F1785" s="575"/>
    </row>
    <row r="1786" spans="1:6" ht="20.25">
      <c r="A1786" s="572"/>
      <c r="B1786" s="573"/>
      <c r="C1786" s="573"/>
      <c r="D1786" s="573"/>
      <c r="E1786" s="574"/>
      <c r="F1786" s="575"/>
    </row>
    <row r="1787" spans="1:6" ht="20.25">
      <c r="A1787" s="572"/>
      <c r="B1787" s="573"/>
      <c r="C1787" s="573"/>
      <c r="D1787" s="573"/>
      <c r="E1787" s="574"/>
      <c r="F1787" s="575"/>
    </row>
    <row r="1788" spans="1:6" ht="20.25">
      <c r="A1788" s="572"/>
      <c r="B1788" s="573"/>
      <c r="C1788" s="573"/>
      <c r="D1788" s="573"/>
      <c r="E1788" s="574"/>
      <c r="F1788" s="575"/>
    </row>
    <row r="1789" spans="1:6" ht="20.25">
      <c r="A1789" s="572"/>
      <c r="B1789" s="573"/>
      <c r="C1789" s="573"/>
      <c r="D1789" s="573"/>
      <c r="E1789" s="574"/>
      <c r="F1789" s="575"/>
    </row>
    <row r="1790" spans="1:6" ht="20.25">
      <c r="A1790" s="572"/>
      <c r="B1790" s="573"/>
      <c r="C1790" s="573"/>
      <c r="D1790" s="573"/>
      <c r="E1790" s="574"/>
      <c r="F1790" s="575"/>
    </row>
    <row r="1791" spans="1:6" ht="20.25">
      <c r="A1791" s="572"/>
      <c r="B1791" s="573"/>
      <c r="C1791" s="573"/>
      <c r="D1791" s="573"/>
      <c r="E1791" s="574"/>
      <c r="F1791" s="575"/>
    </row>
    <row r="1792" spans="1:6" ht="20.25">
      <c r="A1792" s="572"/>
      <c r="B1792" s="573"/>
      <c r="C1792" s="573"/>
      <c r="D1792" s="573"/>
      <c r="E1792" s="574"/>
      <c r="F1792" s="575"/>
    </row>
    <row r="1793" spans="1:6" ht="20.25">
      <c r="A1793" s="572"/>
      <c r="B1793" s="573"/>
      <c r="C1793" s="573"/>
      <c r="D1793" s="573"/>
      <c r="E1793" s="574"/>
      <c r="F1793" s="575"/>
    </row>
    <row r="1794" spans="1:6" ht="20.25">
      <c r="A1794" s="572"/>
      <c r="B1794" s="573"/>
      <c r="C1794" s="573"/>
      <c r="D1794" s="573"/>
      <c r="E1794" s="574"/>
      <c r="F1794" s="575"/>
    </row>
    <row r="1795" spans="1:6" ht="20.25">
      <c r="A1795" s="572"/>
      <c r="B1795" s="573"/>
      <c r="C1795" s="573"/>
      <c r="D1795" s="573"/>
      <c r="E1795" s="574"/>
      <c r="F1795" s="575"/>
    </row>
    <row r="1796" spans="1:6" ht="20.25">
      <c r="A1796" s="572"/>
      <c r="B1796" s="573"/>
      <c r="C1796" s="573"/>
      <c r="D1796" s="573"/>
      <c r="E1796" s="574"/>
      <c r="F1796" s="575"/>
    </row>
    <row r="1797" spans="1:6" ht="20.25">
      <c r="A1797" s="572"/>
      <c r="B1797" s="573"/>
      <c r="C1797" s="573"/>
      <c r="D1797" s="573"/>
      <c r="E1797" s="574"/>
      <c r="F1797" s="575"/>
    </row>
    <row r="1798" spans="1:6" ht="20.25">
      <c r="A1798" s="572"/>
      <c r="B1798" s="573"/>
      <c r="C1798" s="573"/>
      <c r="D1798" s="573"/>
      <c r="E1798" s="574"/>
      <c r="F1798" s="575"/>
    </row>
    <row r="1799" spans="1:6" ht="20.25">
      <c r="A1799" s="572"/>
      <c r="B1799" s="573"/>
      <c r="C1799" s="573"/>
      <c r="D1799" s="573"/>
      <c r="E1799" s="574"/>
      <c r="F1799" s="575"/>
    </row>
    <row r="1800" spans="1:6" ht="20.25">
      <c r="A1800" s="572"/>
      <c r="B1800" s="573"/>
      <c r="C1800" s="573"/>
      <c r="D1800" s="573"/>
      <c r="E1800" s="574"/>
      <c r="F1800" s="575"/>
    </row>
    <row r="1801" spans="1:6" ht="20.25">
      <c r="A1801" s="572"/>
      <c r="B1801" s="573"/>
      <c r="C1801" s="573"/>
      <c r="D1801" s="573"/>
      <c r="E1801" s="574"/>
      <c r="F1801" s="575"/>
    </row>
    <row r="1802" spans="1:6" ht="20.25">
      <c r="A1802" s="572"/>
      <c r="B1802" s="573"/>
      <c r="C1802" s="573"/>
      <c r="D1802" s="573"/>
      <c r="E1802" s="574"/>
      <c r="F1802" s="575"/>
    </row>
    <row r="1803" spans="1:6" ht="20.25">
      <c r="A1803" s="572"/>
      <c r="B1803" s="573"/>
      <c r="C1803" s="573"/>
      <c r="D1803" s="573"/>
      <c r="E1803" s="574"/>
      <c r="F1803" s="575"/>
    </row>
    <row r="1804" spans="1:6" ht="20.25">
      <c r="A1804" s="572"/>
      <c r="B1804" s="573"/>
      <c r="C1804" s="573"/>
      <c r="D1804" s="573"/>
      <c r="E1804" s="574"/>
      <c r="F1804" s="575"/>
    </row>
    <row r="1805" spans="1:6" ht="20.25">
      <c r="A1805" s="572"/>
      <c r="B1805" s="573"/>
      <c r="C1805" s="573"/>
      <c r="D1805" s="573"/>
      <c r="E1805" s="574"/>
      <c r="F1805" s="575"/>
    </row>
    <row r="1806" spans="1:6" ht="20.25">
      <c r="A1806" s="572"/>
      <c r="B1806" s="573"/>
      <c r="C1806" s="573"/>
      <c r="D1806" s="573"/>
      <c r="E1806" s="574"/>
      <c r="F1806" s="575"/>
    </row>
    <row r="1807" spans="1:6" ht="20.25">
      <c r="A1807" s="572"/>
      <c r="B1807" s="573"/>
      <c r="C1807" s="573"/>
      <c r="D1807" s="573"/>
      <c r="E1807" s="574"/>
      <c r="F1807" s="575"/>
    </row>
    <row r="1808" spans="1:6" ht="20.25">
      <c r="A1808" s="572"/>
      <c r="B1808" s="573"/>
      <c r="C1808" s="573"/>
      <c r="D1808" s="573"/>
      <c r="E1808" s="574"/>
      <c r="F1808" s="575"/>
    </row>
    <row r="1809" spans="1:6" ht="20.25">
      <c r="A1809" s="572"/>
      <c r="B1809" s="573"/>
      <c r="C1809" s="573"/>
      <c r="D1809" s="573"/>
      <c r="E1809" s="574"/>
      <c r="F1809" s="575"/>
    </row>
    <row r="1810" spans="1:6" ht="20.25">
      <c r="A1810" s="572"/>
      <c r="B1810" s="573"/>
      <c r="C1810" s="573"/>
      <c r="D1810" s="573"/>
      <c r="E1810" s="574"/>
      <c r="F1810" s="575"/>
    </row>
    <row r="1811" spans="1:6" ht="20.25">
      <c r="A1811" s="572"/>
      <c r="B1811" s="573"/>
      <c r="C1811" s="573"/>
      <c r="D1811" s="573"/>
      <c r="E1811" s="574"/>
      <c r="F1811" s="575"/>
    </row>
    <row r="1812" spans="1:6" ht="20.25">
      <c r="A1812" s="572"/>
      <c r="B1812" s="573"/>
      <c r="C1812" s="573"/>
      <c r="D1812" s="573"/>
      <c r="E1812" s="574"/>
      <c r="F1812" s="575"/>
    </row>
    <row r="1813" spans="1:6" ht="20.25">
      <c r="A1813" s="572"/>
      <c r="B1813" s="573"/>
      <c r="C1813" s="573"/>
      <c r="D1813" s="573"/>
      <c r="E1813" s="574"/>
      <c r="F1813" s="575"/>
    </row>
    <row r="1814" spans="1:6" ht="20.25">
      <c r="A1814" s="572"/>
      <c r="B1814" s="573"/>
      <c r="C1814" s="573"/>
      <c r="D1814" s="573"/>
      <c r="E1814" s="574"/>
      <c r="F1814" s="575"/>
    </row>
    <row r="1815" spans="1:6" ht="20.25">
      <c r="A1815" s="572"/>
      <c r="B1815" s="573"/>
      <c r="C1815" s="573"/>
      <c r="D1815" s="573"/>
      <c r="E1815" s="574"/>
      <c r="F1815" s="575"/>
    </row>
    <row r="1816" spans="1:6" ht="20.25">
      <c r="A1816" s="572"/>
      <c r="B1816" s="573"/>
      <c r="C1816" s="573"/>
      <c r="D1816" s="573"/>
      <c r="E1816" s="574"/>
      <c r="F1816" s="575"/>
    </row>
    <row r="1817" spans="1:6" ht="20.25">
      <c r="A1817" s="572"/>
      <c r="B1817" s="573"/>
      <c r="C1817" s="573"/>
      <c r="D1817" s="573"/>
      <c r="E1817" s="574"/>
      <c r="F1817" s="575"/>
    </row>
    <row r="1818" spans="1:6" ht="20.25">
      <c r="A1818" s="572"/>
      <c r="B1818" s="573"/>
      <c r="C1818" s="573"/>
      <c r="D1818" s="573"/>
      <c r="E1818" s="574"/>
      <c r="F1818" s="575"/>
    </row>
    <row r="1819" spans="1:6" ht="20.25">
      <c r="A1819" s="572"/>
      <c r="B1819" s="573"/>
      <c r="C1819" s="573"/>
      <c r="D1819" s="573"/>
      <c r="E1819" s="574"/>
      <c r="F1819" s="575"/>
    </row>
    <row r="1820" spans="1:6" ht="20.25">
      <c r="A1820" s="572"/>
      <c r="B1820" s="573"/>
      <c r="C1820" s="573"/>
      <c r="D1820" s="573"/>
      <c r="E1820" s="574"/>
      <c r="F1820" s="575"/>
    </row>
    <row r="1821" spans="1:6" ht="20.25">
      <c r="A1821" s="572"/>
      <c r="B1821" s="573"/>
      <c r="C1821" s="573"/>
      <c r="D1821" s="573"/>
      <c r="E1821" s="574"/>
      <c r="F1821" s="575"/>
    </row>
    <row r="1822" spans="1:6" ht="20.25">
      <c r="A1822" s="572"/>
      <c r="B1822" s="573"/>
      <c r="C1822" s="573"/>
      <c r="D1822" s="573"/>
      <c r="E1822" s="574"/>
      <c r="F1822" s="575"/>
    </row>
    <row r="1823" spans="1:6" ht="20.25">
      <c r="A1823" s="572"/>
      <c r="B1823" s="573"/>
      <c r="C1823" s="573"/>
      <c r="D1823" s="573"/>
      <c r="E1823" s="574"/>
      <c r="F1823" s="575"/>
    </row>
    <row r="1824" spans="1:6" ht="20.25">
      <c r="A1824" s="572"/>
      <c r="B1824" s="573"/>
      <c r="C1824" s="573"/>
      <c r="D1824" s="573"/>
      <c r="E1824" s="574"/>
      <c r="F1824" s="575"/>
    </row>
    <row r="1825" spans="1:6" ht="20.25">
      <c r="A1825" s="572"/>
      <c r="B1825" s="573"/>
      <c r="C1825" s="573"/>
      <c r="D1825" s="573"/>
      <c r="E1825" s="574"/>
      <c r="F1825" s="575"/>
    </row>
    <row r="1826" spans="1:6" ht="20.25">
      <c r="A1826" s="572"/>
      <c r="B1826" s="573"/>
      <c r="C1826" s="573"/>
      <c r="D1826" s="573"/>
      <c r="E1826" s="574"/>
      <c r="F1826" s="575"/>
    </row>
    <row r="1827" spans="1:6" ht="20.25">
      <c r="A1827" s="572"/>
      <c r="B1827" s="573"/>
      <c r="C1827" s="573"/>
      <c r="D1827" s="573"/>
      <c r="E1827" s="574"/>
      <c r="F1827" s="575"/>
    </row>
    <row r="1828" spans="1:6" ht="20.25">
      <c r="A1828" s="572"/>
      <c r="B1828" s="573"/>
      <c r="C1828" s="573"/>
      <c r="D1828" s="573"/>
      <c r="E1828" s="574"/>
      <c r="F1828" s="575"/>
    </row>
    <row r="1829" spans="1:6" ht="20.25">
      <c r="A1829" s="572"/>
      <c r="B1829" s="573"/>
      <c r="C1829" s="573"/>
      <c r="D1829" s="573"/>
      <c r="E1829" s="574"/>
      <c r="F1829" s="575"/>
    </row>
    <row r="1830" spans="1:6" ht="20.25">
      <c r="A1830" s="572"/>
      <c r="B1830" s="573"/>
      <c r="C1830" s="573"/>
      <c r="D1830" s="573"/>
      <c r="E1830" s="574"/>
      <c r="F1830" s="575"/>
    </row>
    <row r="1831" spans="1:6" ht="20.25">
      <c r="A1831" s="572"/>
      <c r="B1831" s="573"/>
      <c r="C1831" s="573"/>
      <c r="D1831" s="573"/>
      <c r="E1831" s="574"/>
      <c r="F1831" s="575"/>
    </row>
    <row r="1832" spans="1:6" ht="20.25">
      <c r="A1832" s="572"/>
      <c r="B1832" s="573"/>
      <c r="C1832" s="573"/>
      <c r="D1832" s="573"/>
      <c r="E1832" s="574"/>
      <c r="F1832" s="575"/>
    </row>
    <row r="1833" spans="1:6" ht="20.25">
      <c r="A1833" s="572"/>
      <c r="B1833" s="573"/>
      <c r="C1833" s="573"/>
      <c r="D1833" s="573"/>
      <c r="E1833" s="574"/>
      <c r="F1833" s="575"/>
    </row>
    <row r="1834" spans="1:6" ht="20.25">
      <c r="A1834" s="572"/>
      <c r="B1834" s="573"/>
      <c r="C1834" s="573"/>
      <c r="D1834" s="573"/>
      <c r="E1834" s="574"/>
      <c r="F1834" s="575"/>
    </row>
    <row r="1835" spans="1:6" ht="20.25">
      <c r="A1835" s="572"/>
      <c r="B1835" s="573"/>
      <c r="C1835" s="573"/>
      <c r="D1835" s="573"/>
      <c r="E1835" s="574"/>
      <c r="F1835" s="575"/>
    </row>
    <row r="1836" spans="1:6" ht="20.25">
      <c r="A1836" s="572"/>
      <c r="B1836" s="573"/>
      <c r="C1836" s="573"/>
      <c r="D1836" s="573"/>
      <c r="E1836" s="574"/>
      <c r="F1836" s="575"/>
    </row>
    <row r="1837" spans="1:6" ht="20.25">
      <c r="A1837" s="572"/>
      <c r="B1837" s="573"/>
      <c r="C1837" s="573"/>
      <c r="D1837" s="573"/>
      <c r="E1837" s="574"/>
      <c r="F1837" s="575"/>
    </row>
    <row r="1838" spans="1:6" ht="20.25">
      <c r="A1838" s="572"/>
      <c r="B1838" s="573"/>
      <c r="C1838" s="573"/>
      <c r="D1838" s="573"/>
      <c r="E1838" s="574"/>
      <c r="F1838" s="575"/>
    </row>
    <row r="1839" spans="1:6" ht="20.25">
      <c r="A1839" s="572"/>
      <c r="B1839" s="573"/>
      <c r="C1839" s="573"/>
      <c r="D1839" s="573"/>
      <c r="E1839" s="574"/>
      <c r="F1839" s="575"/>
    </row>
    <row r="1840" spans="1:6" ht="20.25">
      <c r="A1840" s="572"/>
      <c r="B1840" s="573"/>
      <c r="C1840" s="573"/>
      <c r="D1840" s="573"/>
      <c r="E1840" s="574"/>
      <c r="F1840" s="575"/>
    </row>
    <row r="1841" spans="1:6" ht="20.25">
      <c r="A1841" s="572"/>
      <c r="B1841" s="573"/>
      <c r="C1841" s="573"/>
      <c r="D1841" s="573"/>
      <c r="E1841" s="574"/>
      <c r="F1841" s="575"/>
    </row>
    <row r="1842" spans="1:6" ht="20.25">
      <c r="A1842" s="572"/>
      <c r="B1842" s="573"/>
      <c r="C1842" s="573"/>
      <c r="D1842" s="573"/>
      <c r="E1842" s="574"/>
      <c r="F1842" s="575"/>
    </row>
    <row r="1843" spans="1:6" ht="20.25">
      <c r="A1843" s="572"/>
      <c r="B1843" s="573"/>
      <c r="C1843" s="573"/>
      <c r="D1843" s="573"/>
      <c r="E1843" s="574"/>
      <c r="F1843" s="575"/>
    </row>
    <row r="1844" spans="1:6" ht="20.25">
      <c r="A1844" s="572"/>
      <c r="B1844" s="573"/>
      <c r="C1844" s="573"/>
      <c r="D1844" s="573"/>
      <c r="E1844" s="574"/>
      <c r="F1844" s="575"/>
    </row>
    <row r="1845" spans="1:6" ht="20.25">
      <c r="A1845" s="572"/>
      <c r="B1845" s="573"/>
      <c r="C1845" s="573"/>
      <c r="D1845" s="573"/>
      <c r="E1845" s="574"/>
      <c r="F1845" s="575"/>
    </row>
    <row r="1846" spans="1:6" ht="20.25">
      <c r="A1846" s="572"/>
      <c r="B1846" s="573"/>
      <c r="C1846" s="573"/>
      <c r="D1846" s="573"/>
      <c r="E1846" s="574"/>
      <c r="F1846" s="575"/>
    </row>
    <row r="1847" spans="1:6" ht="20.25">
      <c r="A1847" s="572"/>
      <c r="B1847" s="573"/>
      <c r="C1847" s="573"/>
      <c r="D1847" s="573"/>
      <c r="E1847" s="574"/>
      <c r="F1847" s="575"/>
    </row>
    <row r="1848" spans="1:6" ht="20.25">
      <c r="A1848" s="572"/>
      <c r="B1848" s="573"/>
      <c r="C1848" s="573"/>
      <c r="D1848" s="573"/>
      <c r="E1848" s="574"/>
      <c r="F1848" s="575"/>
    </row>
    <row r="1849" spans="1:6" ht="20.25">
      <c r="A1849" s="572"/>
      <c r="B1849" s="573"/>
      <c r="C1849" s="573"/>
      <c r="D1849" s="573"/>
      <c r="E1849" s="574"/>
      <c r="F1849" s="575"/>
    </row>
    <row r="1850" spans="1:6" ht="20.25">
      <c r="A1850" s="572"/>
      <c r="B1850" s="573"/>
      <c r="C1850" s="573"/>
      <c r="D1850" s="573"/>
      <c r="E1850" s="574"/>
      <c r="F1850" s="575"/>
    </row>
    <row r="1851" spans="1:6" ht="20.25">
      <c r="A1851" s="572"/>
      <c r="B1851" s="573"/>
      <c r="C1851" s="573"/>
      <c r="D1851" s="573"/>
      <c r="E1851" s="574"/>
      <c r="F1851" s="575"/>
    </row>
    <row r="1852" spans="1:6" ht="20.25">
      <c r="A1852" s="572"/>
      <c r="B1852" s="573"/>
      <c r="C1852" s="573"/>
      <c r="D1852" s="573"/>
      <c r="E1852" s="574"/>
      <c r="F1852" s="575"/>
    </row>
    <row r="1853" spans="1:6" ht="20.25">
      <c r="A1853" s="572"/>
      <c r="B1853" s="573"/>
      <c r="C1853" s="573"/>
      <c r="D1853" s="573"/>
      <c r="E1853" s="574"/>
      <c r="F1853" s="575"/>
    </row>
    <row r="1854" spans="1:6" ht="20.25">
      <c r="A1854" s="572"/>
      <c r="B1854" s="573"/>
      <c r="C1854" s="573"/>
      <c r="D1854" s="573"/>
      <c r="E1854" s="574"/>
      <c r="F1854" s="575"/>
    </row>
    <row r="1855" spans="1:6" ht="20.25">
      <c r="A1855" s="572"/>
      <c r="B1855" s="573"/>
      <c r="C1855" s="573"/>
      <c r="D1855" s="573"/>
      <c r="E1855" s="574"/>
      <c r="F1855" s="575"/>
    </row>
    <row r="1856" spans="1:6" ht="20.25">
      <c r="A1856" s="572"/>
      <c r="B1856" s="573"/>
      <c r="C1856" s="573"/>
      <c r="D1856" s="573"/>
      <c r="E1856" s="574"/>
      <c r="F1856" s="575"/>
    </row>
    <row r="1857" spans="1:6" ht="20.25">
      <c r="A1857" s="572"/>
      <c r="B1857" s="573"/>
      <c r="C1857" s="573"/>
      <c r="D1857" s="573"/>
      <c r="E1857" s="574"/>
      <c r="F1857" s="575"/>
    </row>
    <row r="1858" spans="1:6" ht="20.25">
      <c r="A1858" s="572"/>
      <c r="B1858" s="573"/>
      <c r="C1858" s="573"/>
      <c r="D1858" s="573"/>
      <c r="E1858" s="574"/>
      <c r="F1858" s="575"/>
    </row>
    <row r="1859" spans="1:6" ht="20.25">
      <c r="A1859" s="572"/>
      <c r="B1859" s="573"/>
      <c r="C1859" s="573"/>
      <c r="D1859" s="573"/>
      <c r="E1859" s="574"/>
      <c r="F1859" s="575"/>
    </row>
    <row r="1860" spans="1:6" ht="20.25">
      <c r="A1860" s="572"/>
      <c r="B1860" s="573"/>
      <c r="C1860" s="573"/>
      <c r="D1860" s="573"/>
      <c r="E1860" s="574"/>
      <c r="F1860" s="575"/>
    </row>
    <row r="1861" spans="1:6" ht="20.25">
      <c r="A1861" s="572"/>
      <c r="B1861" s="573"/>
      <c r="C1861" s="573"/>
      <c r="D1861" s="573"/>
      <c r="E1861" s="574"/>
      <c r="F1861" s="575"/>
    </row>
    <row r="1862" spans="1:6" ht="20.25">
      <c r="A1862" s="572"/>
      <c r="B1862" s="573"/>
      <c r="C1862" s="573"/>
      <c r="D1862" s="573"/>
      <c r="E1862" s="574"/>
      <c r="F1862" s="575"/>
    </row>
    <row r="1863" spans="1:6" ht="20.25">
      <c r="A1863" s="572"/>
      <c r="B1863" s="573"/>
      <c r="C1863" s="573"/>
      <c r="D1863" s="573"/>
      <c r="E1863" s="574"/>
      <c r="F1863" s="575"/>
    </row>
    <row r="1864" spans="1:6" ht="20.25">
      <c r="A1864" s="572"/>
      <c r="B1864" s="573"/>
      <c r="C1864" s="573"/>
      <c r="D1864" s="573"/>
      <c r="E1864" s="574"/>
      <c r="F1864" s="575"/>
    </row>
    <row r="1865" spans="1:6" ht="20.25">
      <c r="A1865" s="572"/>
      <c r="B1865" s="573"/>
      <c r="C1865" s="573"/>
      <c r="D1865" s="573"/>
      <c r="E1865" s="574"/>
      <c r="F1865" s="575"/>
    </row>
    <row r="1866" spans="1:6" ht="20.25">
      <c r="A1866" s="572"/>
      <c r="B1866" s="573"/>
      <c r="C1866" s="573"/>
      <c r="D1866" s="573"/>
      <c r="E1866" s="574"/>
      <c r="F1866" s="575"/>
    </row>
    <row r="1867" spans="1:6" ht="20.25">
      <c r="A1867" s="572"/>
      <c r="B1867" s="573"/>
      <c r="C1867" s="573"/>
      <c r="D1867" s="573"/>
      <c r="E1867" s="574"/>
      <c r="F1867" s="575"/>
    </row>
    <row r="1868" spans="1:6" ht="20.25">
      <c r="A1868" s="572"/>
      <c r="B1868" s="573"/>
      <c r="C1868" s="573"/>
      <c r="D1868" s="573"/>
      <c r="E1868" s="574"/>
      <c r="F1868" s="575"/>
    </row>
    <row r="1869" spans="1:6" ht="20.25">
      <c r="A1869" s="572"/>
      <c r="B1869" s="573"/>
      <c r="C1869" s="573"/>
      <c r="D1869" s="573"/>
      <c r="E1869" s="574"/>
      <c r="F1869" s="575"/>
    </row>
    <row r="1870" spans="1:6" ht="20.25">
      <c r="A1870" s="572"/>
      <c r="B1870" s="573"/>
      <c r="C1870" s="573"/>
      <c r="D1870" s="573"/>
      <c r="E1870" s="574"/>
      <c r="F1870" s="575"/>
    </row>
    <row r="1871" spans="1:6" ht="20.25">
      <c r="A1871" s="572"/>
      <c r="B1871" s="573"/>
      <c r="C1871" s="573"/>
      <c r="D1871" s="573"/>
      <c r="E1871" s="574"/>
      <c r="F1871" s="575"/>
    </row>
    <row r="1872" spans="1:6" ht="20.25">
      <c r="A1872" s="572"/>
      <c r="B1872" s="573"/>
      <c r="C1872" s="573"/>
      <c r="D1872" s="573"/>
      <c r="E1872" s="574"/>
      <c r="F1872" s="575"/>
    </row>
    <row r="1873" spans="1:6" ht="20.25">
      <c r="A1873" s="572"/>
      <c r="B1873" s="573"/>
      <c r="C1873" s="573"/>
      <c r="D1873" s="573"/>
      <c r="E1873" s="574"/>
      <c r="F1873" s="575"/>
    </row>
    <row r="1874" spans="1:6" ht="20.25">
      <c r="A1874" s="572"/>
      <c r="B1874" s="573"/>
      <c r="C1874" s="573"/>
      <c r="D1874" s="573"/>
      <c r="E1874" s="574"/>
      <c r="F1874" s="575"/>
    </row>
    <row r="1875" spans="1:6" ht="20.25">
      <c r="A1875" s="572"/>
      <c r="B1875" s="573"/>
      <c r="C1875" s="573"/>
      <c r="D1875" s="573"/>
      <c r="E1875" s="574"/>
      <c r="F1875" s="575"/>
    </row>
    <row r="1876" spans="1:6" ht="20.25">
      <c r="A1876" s="572"/>
      <c r="B1876" s="573"/>
      <c r="C1876" s="573"/>
      <c r="D1876" s="573"/>
      <c r="E1876" s="574"/>
      <c r="F1876" s="575"/>
    </row>
    <row r="1877" spans="1:6" ht="20.25">
      <c r="A1877" s="572"/>
      <c r="B1877" s="573"/>
      <c r="C1877" s="573"/>
      <c r="D1877" s="573"/>
      <c r="E1877" s="574"/>
      <c r="F1877" s="575"/>
    </row>
    <row r="1878" spans="1:6" ht="20.25">
      <c r="A1878" s="572"/>
      <c r="B1878" s="573"/>
      <c r="C1878" s="573"/>
      <c r="D1878" s="573"/>
      <c r="E1878" s="574"/>
      <c r="F1878" s="575"/>
    </row>
    <row r="1879" spans="1:6" ht="20.25">
      <c r="A1879" s="572"/>
      <c r="B1879" s="573"/>
      <c r="C1879" s="573"/>
      <c r="D1879" s="573"/>
      <c r="E1879" s="574"/>
      <c r="F1879" s="575"/>
    </row>
    <row r="1880" spans="1:6" ht="20.25">
      <c r="A1880" s="572"/>
      <c r="B1880" s="573"/>
      <c r="C1880" s="573"/>
      <c r="D1880" s="573"/>
      <c r="E1880" s="574"/>
      <c r="F1880" s="575"/>
    </row>
    <row r="1881" spans="1:6" ht="20.25">
      <c r="A1881" s="572"/>
      <c r="B1881" s="573"/>
      <c r="C1881" s="573"/>
      <c r="D1881" s="573"/>
      <c r="E1881" s="574"/>
      <c r="F1881" s="575"/>
    </row>
    <row r="1882" spans="1:6" ht="20.25">
      <c r="A1882" s="572"/>
      <c r="B1882" s="573"/>
      <c r="C1882" s="573"/>
      <c r="D1882" s="573"/>
      <c r="E1882" s="574"/>
      <c r="F1882" s="575"/>
    </row>
    <row r="1883" spans="1:6" ht="20.25">
      <c r="A1883" s="572"/>
      <c r="B1883" s="573"/>
      <c r="C1883" s="573"/>
      <c r="D1883" s="573"/>
      <c r="E1883" s="574"/>
      <c r="F1883" s="575"/>
    </row>
    <row r="1884" spans="1:6" ht="20.25">
      <c r="A1884" s="572"/>
      <c r="B1884" s="573"/>
      <c r="C1884" s="573"/>
      <c r="D1884" s="573"/>
      <c r="E1884" s="574"/>
      <c r="F1884" s="575"/>
    </row>
    <row r="1885" spans="1:6" ht="20.25">
      <c r="A1885" s="572"/>
      <c r="B1885" s="573"/>
      <c r="C1885" s="573"/>
      <c r="D1885" s="573"/>
      <c r="E1885" s="574"/>
      <c r="F1885" s="575"/>
    </row>
    <row r="1886" spans="1:6" ht="20.25">
      <c r="A1886" s="572"/>
      <c r="B1886" s="573"/>
      <c r="C1886" s="573"/>
      <c r="D1886" s="573"/>
      <c r="E1886" s="574"/>
      <c r="F1886" s="575"/>
    </row>
    <row r="1887" spans="1:6" ht="20.25">
      <c r="A1887" s="572"/>
      <c r="B1887" s="573"/>
      <c r="C1887" s="573"/>
      <c r="D1887" s="573"/>
      <c r="E1887" s="574"/>
      <c r="F1887" s="575"/>
    </row>
    <row r="1888" spans="1:6" ht="20.25">
      <c r="A1888" s="572"/>
      <c r="B1888" s="573"/>
      <c r="C1888" s="573"/>
      <c r="D1888" s="573"/>
      <c r="E1888" s="574"/>
      <c r="F1888" s="575"/>
    </row>
    <row r="1889" spans="1:6" ht="20.25">
      <c r="A1889" s="572"/>
      <c r="B1889" s="573"/>
      <c r="C1889" s="573"/>
      <c r="D1889" s="573"/>
      <c r="E1889" s="574"/>
      <c r="F1889" s="575"/>
    </row>
    <row r="1890" spans="1:6" ht="20.25">
      <c r="A1890" s="572"/>
      <c r="B1890" s="573"/>
      <c r="C1890" s="573"/>
      <c r="D1890" s="573"/>
      <c r="E1890" s="574"/>
      <c r="F1890" s="575"/>
    </row>
    <row r="1891" spans="1:6" ht="20.25">
      <c r="A1891" s="572"/>
      <c r="B1891" s="573"/>
      <c r="C1891" s="573"/>
      <c r="D1891" s="573"/>
      <c r="E1891" s="574"/>
      <c r="F1891" s="575"/>
    </row>
    <row r="1892" spans="1:6" ht="20.25">
      <c r="A1892" s="572"/>
      <c r="B1892" s="573"/>
      <c r="C1892" s="573"/>
      <c r="D1892" s="573"/>
      <c r="E1892" s="574"/>
      <c r="F1892" s="575"/>
    </row>
    <row r="1893" spans="1:6" ht="20.25">
      <c r="A1893" s="572"/>
      <c r="B1893" s="573"/>
      <c r="C1893" s="573"/>
      <c r="D1893" s="573"/>
      <c r="E1893" s="574"/>
      <c r="F1893" s="575"/>
    </row>
    <row r="1894" spans="1:6" ht="20.25">
      <c r="A1894" s="572"/>
      <c r="B1894" s="573"/>
      <c r="C1894" s="573"/>
      <c r="D1894" s="573"/>
      <c r="E1894" s="574"/>
      <c r="F1894" s="575"/>
    </row>
    <row r="1895" spans="1:6" ht="20.25">
      <c r="A1895" s="572"/>
      <c r="B1895" s="573"/>
      <c r="C1895" s="573"/>
      <c r="D1895" s="573"/>
      <c r="E1895" s="574"/>
      <c r="F1895" s="575"/>
    </row>
    <row r="1896" spans="1:6" ht="20.25">
      <c r="A1896" s="572"/>
      <c r="B1896" s="573"/>
      <c r="C1896" s="573"/>
      <c r="D1896" s="573"/>
      <c r="E1896" s="574"/>
      <c r="F1896" s="575"/>
    </row>
    <row r="1897" spans="1:6" ht="20.25">
      <c r="A1897" s="572"/>
      <c r="B1897" s="573"/>
      <c r="C1897" s="573"/>
      <c r="D1897" s="573"/>
      <c r="E1897" s="574"/>
      <c r="F1897" s="575"/>
    </row>
    <row r="1898" spans="1:6" ht="20.25">
      <c r="A1898" s="572"/>
      <c r="B1898" s="573"/>
      <c r="C1898" s="573"/>
      <c r="D1898" s="573"/>
      <c r="E1898" s="574"/>
      <c r="F1898" s="575"/>
    </row>
    <row r="1899" spans="1:6" ht="20.25">
      <c r="A1899" s="572"/>
      <c r="B1899" s="573"/>
      <c r="C1899" s="573"/>
      <c r="D1899" s="573"/>
      <c r="E1899" s="574"/>
      <c r="F1899" s="575"/>
    </row>
    <row r="1900" spans="1:6" ht="20.25">
      <c r="A1900" s="572"/>
      <c r="B1900" s="573"/>
      <c r="C1900" s="573"/>
      <c r="D1900" s="573"/>
      <c r="E1900" s="574"/>
      <c r="F1900" s="575"/>
    </row>
    <row r="1901" spans="1:6" ht="20.25">
      <c r="A1901" s="572"/>
      <c r="B1901" s="573"/>
      <c r="C1901" s="573"/>
      <c r="D1901" s="573"/>
      <c r="E1901" s="574"/>
      <c r="F1901" s="575"/>
    </row>
    <row r="1902" spans="1:6" ht="20.25">
      <c r="A1902" s="572"/>
      <c r="B1902" s="573"/>
      <c r="C1902" s="573"/>
      <c r="D1902" s="573"/>
      <c r="E1902" s="574"/>
      <c r="F1902" s="575"/>
    </row>
    <row r="1903" spans="1:6" ht="20.25">
      <c r="A1903" s="572"/>
      <c r="B1903" s="573"/>
      <c r="C1903" s="573"/>
      <c r="D1903" s="573"/>
      <c r="E1903" s="574"/>
      <c r="F1903" s="575"/>
    </row>
    <row r="1904" spans="1:6" ht="20.25">
      <c r="A1904" s="572"/>
      <c r="B1904" s="573"/>
      <c r="C1904" s="573"/>
      <c r="D1904" s="573"/>
      <c r="E1904" s="574"/>
      <c r="F1904" s="575"/>
    </row>
    <row r="1905" spans="1:6" ht="20.25">
      <c r="A1905" s="572"/>
      <c r="B1905" s="573"/>
      <c r="C1905" s="573"/>
      <c r="D1905" s="573"/>
      <c r="E1905" s="574"/>
      <c r="F1905" s="575"/>
    </row>
    <row r="1906" spans="1:6" ht="20.25">
      <c r="A1906" s="572"/>
      <c r="B1906" s="573"/>
      <c r="C1906" s="573"/>
      <c r="D1906" s="573"/>
      <c r="E1906" s="574"/>
      <c r="F1906" s="575"/>
    </row>
    <row r="1907" spans="1:6" ht="20.25">
      <c r="A1907" s="572"/>
      <c r="B1907" s="573"/>
      <c r="C1907" s="573"/>
      <c r="D1907" s="573"/>
      <c r="E1907" s="574"/>
      <c r="F1907" s="575"/>
    </row>
    <row r="1908" spans="1:6" ht="20.25">
      <c r="A1908" s="572"/>
      <c r="B1908" s="573"/>
      <c r="C1908" s="573"/>
      <c r="D1908" s="573"/>
      <c r="E1908" s="574"/>
      <c r="F1908" s="575"/>
    </row>
    <row r="1909" spans="1:6" ht="20.25">
      <c r="A1909" s="572"/>
      <c r="B1909" s="573"/>
      <c r="C1909" s="573"/>
      <c r="D1909" s="573"/>
      <c r="E1909" s="574"/>
      <c r="F1909" s="575"/>
    </row>
    <row r="1910" spans="1:6" ht="20.25">
      <c r="A1910" s="572"/>
      <c r="B1910" s="573"/>
      <c r="C1910" s="573"/>
      <c r="D1910" s="573"/>
      <c r="E1910" s="574"/>
      <c r="F1910" s="575"/>
    </row>
    <row r="1911" spans="1:6" ht="20.25">
      <c r="A1911" s="572"/>
      <c r="B1911" s="573"/>
      <c r="C1911" s="573"/>
      <c r="D1911" s="573"/>
      <c r="E1911" s="574"/>
      <c r="F1911" s="575"/>
    </row>
    <row r="1912" spans="1:6" ht="20.25">
      <c r="A1912" s="572"/>
      <c r="B1912" s="573"/>
      <c r="C1912" s="573"/>
      <c r="D1912" s="573"/>
      <c r="E1912" s="574"/>
      <c r="F1912" s="575"/>
    </row>
    <row r="1913" spans="1:6" ht="20.25">
      <c r="A1913" s="572"/>
      <c r="B1913" s="573"/>
      <c r="C1913" s="573"/>
      <c r="D1913" s="573"/>
      <c r="E1913" s="574"/>
      <c r="F1913" s="575"/>
    </row>
    <row r="1914" spans="1:6" ht="20.25">
      <c r="A1914" s="572"/>
      <c r="B1914" s="573"/>
      <c r="C1914" s="573"/>
      <c r="D1914" s="573"/>
      <c r="E1914" s="574"/>
      <c r="F1914" s="575"/>
    </row>
    <row r="1915" spans="1:6" ht="20.25">
      <c r="A1915" s="572"/>
      <c r="B1915" s="573"/>
      <c r="C1915" s="573"/>
      <c r="D1915" s="573"/>
      <c r="E1915" s="574"/>
      <c r="F1915" s="575"/>
    </row>
    <row r="1916" spans="1:6" ht="20.25">
      <c r="A1916" s="572"/>
      <c r="B1916" s="573"/>
      <c r="C1916" s="573"/>
      <c r="D1916" s="573"/>
      <c r="E1916" s="574"/>
      <c r="F1916" s="575"/>
    </row>
    <row r="1917" spans="1:6" ht="20.25">
      <c r="A1917" s="572"/>
      <c r="B1917" s="573"/>
      <c r="C1917" s="573"/>
      <c r="D1917" s="573"/>
      <c r="E1917" s="574"/>
      <c r="F1917" s="575"/>
    </row>
    <row r="1918" spans="1:6" ht="20.25">
      <c r="A1918" s="572"/>
      <c r="B1918" s="573"/>
      <c r="C1918" s="573"/>
      <c r="D1918" s="573"/>
      <c r="E1918" s="574"/>
      <c r="F1918" s="575"/>
    </row>
    <row r="1919" spans="1:6" ht="20.25">
      <c r="A1919" s="572"/>
      <c r="B1919" s="573"/>
      <c r="C1919" s="573"/>
      <c r="D1919" s="573"/>
      <c r="E1919" s="574"/>
      <c r="F1919" s="575"/>
    </row>
    <row r="1920" spans="1:6" ht="20.25">
      <c r="A1920" s="572"/>
      <c r="B1920" s="573"/>
      <c r="C1920" s="573"/>
      <c r="D1920" s="573"/>
      <c r="E1920" s="574"/>
      <c r="F1920" s="575"/>
    </row>
    <row r="1921" spans="1:6" ht="20.25">
      <c r="A1921" s="572"/>
      <c r="B1921" s="573"/>
      <c r="C1921" s="573"/>
      <c r="D1921" s="573"/>
      <c r="E1921" s="574"/>
      <c r="F1921" s="575"/>
    </row>
    <row r="1922" spans="1:6" ht="20.25">
      <c r="A1922" s="572"/>
      <c r="B1922" s="573"/>
      <c r="C1922" s="573"/>
      <c r="D1922" s="573"/>
      <c r="E1922" s="574"/>
      <c r="F1922" s="575"/>
    </row>
    <row r="1923" spans="1:6" ht="20.25">
      <c r="A1923" s="572"/>
      <c r="B1923" s="573"/>
      <c r="C1923" s="573"/>
      <c r="D1923" s="573"/>
      <c r="E1923" s="574"/>
      <c r="F1923" s="575"/>
    </row>
    <row r="1924" spans="1:6" ht="20.25">
      <c r="A1924" s="572"/>
      <c r="B1924" s="573"/>
      <c r="C1924" s="573"/>
      <c r="D1924" s="573"/>
      <c r="E1924" s="574"/>
      <c r="F1924" s="575"/>
    </row>
    <row r="1925" spans="1:6" ht="20.25">
      <c r="A1925" s="572"/>
      <c r="B1925" s="573"/>
      <c r="C1925" s="573"/>
      <c r="D1925" s="573"/>
      <c r="E1925" s="574"/>
      <c r="F1925" s="575"/>
    </row>
    <row r="1926" spans="1:6" ht="20.25">
      <c r="A1926" s="572"/>
      <c r="B1926" s="573"/>
      <c r="C1926" s="573"/>
      <c r="D1926" s="573"/>
      <c r="E1926" s="574"/>
      <c r="F1926" s="575"/>
    </row>
    <row r="1927" spans="1:6" ht="20.25">
      <c r="A1927" s="572"/>
      <c r="B1927" s="573"/>
      <c r="C1927" s="573"/>
      <c r="D1927" s="573"/>
      <c r="E1927" s="574"/>
      <c r="F1927" s="575"/>
    </row>
    <row r="1928" spans="1:6" ht="20.25">
      <c r="A1928" s="572"/>
      <c r="B1928" s="573"/>
      <c r="C1928" s="573"/>
      <c r="D1928" s="573"/>
      <c r="E1928" s="574"/>
      <c r="F1928" s="575"/>
    </row>
    <row r="1929" spans="1:6" ht="20.25">
      <c r="A1929" s="572"/>
      <c r="B1929" s="573"/>
      <c r="C1929" s="573"/>
      <c r="D1929" s="573"/>
      <c r="E1929" s="574"/>
      <c r="F1929" s="575"/>
    </row>
    <row r="1930" spans="1:6" ht="20.25">
      <c r="A1930" s="572"/>
      <c r="B1930" s="573"/>
      <c r="C1930" s="573"/>
      <c r="D1930" s="573"/>
      <c r="E1930" s="574"/>
      <c r="F1930" s="575"/>
    </row>
    <row r="1931" spans="1:6" ht="20.25">
      <c r="A1931" s="572"/>
      <c r="B1931" s="573"/>
      <c r="C1931" s="573"/>
      <c r="D1931" s="573"/>
      <c r="E1931" s="574"/>
      <c r="F1931" s="575"/>
    </row>
    <row r="1932" spans="1:6" ht="20.25">
      <c r="A1932" s="572"/>
      <c r="B1932" s="573"/>
      <c r="C1932" s="573"/>
      <c r="D1932" s="573"/>
      <c r="E1932" s="574"/>
      <c r="F1932" s="575"/>
    </row>
    <row r="1933" spans="1:6" ht="20.25">
      <c r="A1933" s="572"/>
      <c r="B1933" s="573"/>
      <c r="C1933" s="573"/>
      <c r="D1933" s="573"/>
      <c r="E1933" s="574"/>
      <c r="F1933" s="575"/>
    </row>
    <row r="1934" spans="1:6" ht="20.25">
      <c r="A1934" s="572"/>
      <c r="B1934" s="573"/>
      <c r="C1934" s="573"/>
      <c r="D1934" s="573"/>
      <c r="E1934" s="574"/>
      <c r="F1934" s="575"/>
    </row>
    <row r="1935" spans="1:6" ht="20.25">
      <c r="A1935" s="572"/>
      <c r="B1935" s="573"/>
      <c r="C1935" s="573"/>
      <c r="D1935" s="573"/>
      <c r="E1935" s="574"/>
      <c r="F1935" s="575"/>
    </row>
    <row r="1936" spans="1:6" ht="20.25">
      <c r="A1936" s="572"/>
      <c r="B1936" s="573"/>
      <c r="C1936" s="573"/>
      <c r="D1936" s="573"/>
      <c r="E1936" s="574"/>
      <c r="F1936" s="575"/>
    </row>
    <row r="1937" spans="1:6" ht="20.25">
      <c r="A1937" s="572"/>
      <c r="B1937" s="573"/>
      <c r="C1937" s="573"/>
      <c r="D1937" s="573"/>
      <c r="E1937" s="574"/>
      <c r="F1937" s="575"/>
    </row>
    <row r="1938" spans="1:6" ht="20.25">
      <c r="A1938" s="572"/>
      <c r="B1938" s="573"/>
      <c r="C1938" s="573"/>
      <c r="D1938" s="573"/>
      <c r="E1938" s="574"/>
      <c r="F1938" s="575"/>
    </row>
    <row r="1939" spans="1:6" ht="20.25">
      <c r="A1939" s="572"/>
      <c r="B1939" s="573"/>
      <c r="C1939" s="573"/>
      <c r="D1939" s="573"/>
      <c r="E1939" s="574"/>
      <c r="F1939" s="575"/>
    </row>
    <row r="1940" spans="1:6" ht="20.25">
      <c r="A1940" s="572"/>
      <c r="B1940" s="573"/>
      <c r="C1940" s="573"/>
      <c r="D1940" s="573"/>
      <c r="E1940" s="574"/>
      <c r="F1940" s="575"/>
    </row>
    <row r="1941" spans="1:6" ht="20.25">
      <c r="A1941" s="572"/>
      <c r="B1941" s="573"/>
      <c r="C1941" s="573"/>
      <c r="D1941" s="573"/>
      <c r="E1941" s="574"/>
      <c r="F1941" s="575"/>
    </row>
    <row r="1942" spans="1:6" ht="20.25">
      <c r="A1942" s="572"/>
      <c r="B1942" s="573"/>
      <c r="C1942" s="573"/>
      <c r="D1942" s="573"/>
      <c r="E1942" s="574"/>
      <c r="F1942" s="575"/>
    </row>
    <row r="1943" spans="1:6" ht="20.25">
      <c r="A1943" s="572"/>
      <c r="B1943" s="573"/>
      <c r="C1943" s="573"/>
      <c r="D1943" s="573"/>
      <c r="E1943" s="574"/>
      <c r="F1943" s="575"/>
    </row>
    <row r="1944" spans="1:6" ht="20.25">
      <c r="A1944" s="572"/>
      <c r="B1944" s="573"/>
      <c r="C1944" s="573"/>
      <c r="D1944" s="573"/>
      <c r="E1944" s="574"/>
      <c r="F1944" s="575"/>
    </row>
    <row r="1945" spans="1:6" ht="20.25">
      <c r="A1945" s="572"/>
      <c r="B1945" s="573"/>
      <c r="C1945" s="573"/>
      <c r="D1945" s="573"/>
      <c r="E1945" s="574"/>
      <c r="F1945" s="575"/>
    </row>
    <row r="1946" spans="1:6" ht="20.25">
      <c r="A1946" s="572"/>
      <c r="B1946" s="573"/>
      <c r="C1946" s="573"/>
      <c r="D1946" s="573"/>
      <c r="E1946" s="574"/>
      <c r="F1946" s="575"/>
    </row>
    <row r="1947" spans="1:6" ht="20.25">
      <c r="A1947" s="572"/>
      <c r="B1947" s="573"/>
      <c r="C1947" s="573"/>
      <c r="D1947" s="573"/>
      <c r="E1947" s="574"/>
      <c r="F1947" s="575"/>
    </row>
    <row r="1948" spans="1:6" ht="20.25">
      <c r="A1948" s="572"/>
      <c r="B1948" s="573"/>
      <c r="C1948" s="573"/>
      <c r="D1948" s="573"/>
      <c r="E1948" s="574"/>
      <c r="F1948" s="575"/>
    </row>
    <row r="1949" spans="1:6" ht="20.25">
      <c r="A1949" s="572"/>
      <c r="B1949" s="573"/>
      <c r="C1949" s="573"/>
      <c r="D1949" s="573"/>
      <c r="E1949" s="574"/>
      <c r="F1949" s="575"/>
    </row>
    <row r="1950" spans="1:6" ht="20.25">
      <c r="A1950" s="572"/>
      <c r="B1950" s="573"/>
      <c r="C1950" s="573"/>
      <c r="D1950" s="573"/>
      <c r="E1950" s="574"/>
      <c r="F1950" s="575"/>
    </row>
    <row r="1951" spans="1:6" ht="20.25">
      <c r="A1951" s="572"/>
      <c r="B1951" s="573"/>
      <c r="C1951" s="573"/>
      <c r="D1951" s="573"/>
      <c r="E1951" s="574"/>
      <c r="F1951" s="575"/>
    </row>
    <row r="1952" spans="1:6" ht="20.25">
      <c r="A1952" s="572"/>
      <c r="B1952" s="573"/>
      <c r="C1952" s="573"/>
      <c r="D1952" s="573"/>
      <c r="E1952" s="574"/>
      <c r="F1952" s="575"/>
    </row>
    <row r="1953" spans="1:6" ht="20.25">
      <c r="A1953" s="572"/>
      <c r="B1953" s="573"/>
      <c r="C1953" s="573"/>
      <c r="D1953" s="573"/>
      <c r="E1953" s="574"/>
      <c r="F1953" s="575"/>
    </row>
    <row r="1954" spans="1:6" ht="20.25">
      <c r="A1954" s="572"/>
      <c r="B1954" s="573"/>
      <c r="C1954" s="573"/>
      <c r="D1954" s="573"/>
      <c r="E1954" s="574"/>
      <c r="F1954" s="575"/>
    </row>
    <row r="1955" spans="1:6" ht="20.25">
      <c r="A1955" s="572"/>
      <c r="B1955" s="573"/>
      <c r="C1955" s="573"/>
      <c r="D1955" s="573"/>
      <c r="E1955" s="574"/>
      <c r="F1955" s="575"/>
    </row>
    <row r="1956" spans="1:6" ht="20.25">
      <c r="A1956" s="572"/>
      <c r="B1956" s="573"/>
      <c r="C1956" s="573"/>
      <c r="D1956" s="573"/>
      <c r="E1956" s="574"/>
      <c r="F1956" s="575"/>
    </row>
    <row r="1957" spans="1:6" ht="20.25">
      <c r="A1957" s="572"/>
      <c r="B1957" s="573"/>
      <c r="C1957" s="573"/>
      <c r="D1957" s="573"/>
      <c r="E1957" s="574"/>
      <c r="F1957" s="575"/>
    </row>
    <row r="1958" spans="1:6" ht="20.25">
      <c r="A1958" s="572"/>
      <c r="B1958" s="573"/>
      <c r="C1958" s="573"/>
      <c r="D1958" s="573"/>
      <c r="E1958" s="574"/>
      <c r="F1958" s="575"/>
    </row>
    <row r="1959" spans="1:6" ht="20.25">
      <c r="A1959" s="572"/>
      <c r="B1959" s="573"/>
      <c r="C1959" s="573"/>
      <c r="D1959" s="573"/>
      <c r="E1959" s="574"/>
      <c r="F1959" s="575"/>
    </row>
    <row r="1960" spans="1:6" ht="20.25">
      <c r="A1960" s="572"/>
      <c r="B1960" s="573"/>
      <c r="C1960" s="573"/>
      <c r="D1960" s="573"/>
      <c r="E1960" s="574"/>
      <c r="F1960" s="575"/>
    </row>
    <row r="1961" spans="1:6" ht="20.25">
      <c r="A1961" s="572"/>
      <c r="B1961" s="573"/>
      <c r="C1961" s="573"/>
      <c r="D1961" s="573"/>
      <c r="E1961" s="574"/>
      <c r="F1961" s="575"/>
    </row>
    <row r="1962" spans="1:6" ht="20.25">
      <c r="A1962" s="572"/>
      <c r="B1962" s="573"/>
      <c r="C1962" s="573"/>
      <c r="D1962" s="573"/>
      <c r="E1962" s="574"/>
      <c r="F1962" s="575"/>
    </row>
    <row r="1963" spans="1:6" ht="20.25">
      <c r="A1963" s="572"/>
      <c r="B1963" s="573"/>
      <c r="C1963" s="573"/>
      <c r="D1963" s="573"/>
      <c r="E1963" s="574"/>
      <c r="F1963" s="575"/>
    </row>
    <row r="1964" spans="1:6" ht="20.25">
      <c r="A1964" s="572"/>
      <c r="B1964" s="573"/>
      <c r="C1964" s="573"/>
      <c r="D1964" s="573"/>
      <c r="E1964" s="574"/>
      <c r="F1964" s="575"/>
    </row>
    <row r="1965" spans="1:6" ht="20.25">
      <c r="A1965" s="572"/>
      <c r="B1965" s="573"/>
      <c r="C1965" s="573"/>
      <c r="D1965" s="573"/>
      <c r="E1965" s="574"/>
      <c r="F1965" s="575"/>
    </row>
    <row r="1966" spans="1:6" ht="20.25">
      <c r="A1966" s="572"/>
      <c r="B1966" s="573"/>
      <c r="C1966" s="573"/>
      <c r="D1966" s="573"/>
      <c r="E1966" s="574"/>
      <c r="F1966" s="575"/>
    </row>
    <row r="1967" spans="1:6" ht="20.25">
      <c r="A1967" s="572"/>
      <c r="B1967" s="573"/>
      <c r="C1967" s="573"/>
      <c r="D1967" s="573"/>
      <c r="E1967" s="574"/>
      <c r="F1967" s="575"/>
    </row>
    <row r="1968" spans="1:6" ht="20.25">
      <c r="A1968" s="572"/>
      <c r="B1968" s="573"/>
      <c r="C1968" s="573"/>
      <c r="D1968" s="573"/>
      <c r="E1968" s="574"/>
      <c r="F1968" s="575"/>
    </row>
    <row r="1969" spans="1:6" ht="20.25">
      <c r="A1969" s="572"/>
      <c r="B1969" s="573"/>
      <c r="C1969" s="573"/>
      <c r="D1969" s="573"/>
      <c r="E1969" s="574"/>
      <c r="F1969" s="575"/>
    </row>
    <row r="1970" spans="1:6" ht="20.25">
      <c r="A1970" s="572"/>
      <c r="B1970" s="573"/>
      <c r="C1970" s="573"/>
      <c r="D1970" s="573"/>
      <c r="E1970" s="574"/>
      <c r="F1970" s="575"/>
    </row>
    <row r="1971" spans="1:6" ht="20.25">
      <c r="A1971" s="572"/>
      <c r="B1971" s="573"/>
      <c r="C1971" s="573"/>
      <c r="D1971" s="573"/>
      <c r="E1971" s="574"/>
      <c r="F1971" s="575"/>
    </row>
    <row r="1972" spans="1:6" ht="20.25">
      <c r="A1972" s="572"/>
      <c r="B1972" s="573"/>
      <c r="C1972" s="573"/>
      <c r="D1972" s="573"/>
      <c r="E1972" s="574"/>
      <c r="F1972" s="575"/>
    </row>
    <row r="1973" spans="1:6" ht="20.25">
      <c r="A1973" s="572"/>
      <c r="B1973" s="573"/>
      <c r="C1973" s="573"/>
      <c r="D1973" s="573"/>
      <c r="E1973" s="574"/>
      <c r="F1973" s="575"/>
    </row>
    <row r="1974" spans="1:6" ht="20.25">
      <c r="A1974" s="572"/>
      <c r="B1974" s="573"/>
      <c r="C1974" s="573"/>
      <c r="D1974" s="573"/>
      <c r="E1974" s="574"/>
      <c r="F1974" s="575"/>
    </row>
    <row r="1975" spans="1:6" ht="20.25">
      <c r="A1975" s="572"/>
      <c r="B1975" s="573"/>
      <c r="C1975" s="573"/>
      <c r="D1975" s="573"/>
      <c r="E1975" s="574"/>
      <c r="F1975" s="575"/>
    </row>
    <row r="1976" spans="1:6" ht="20.25">
      <c r="A1976" s="572"/>
      <c r="B1976" s="573"/>
      <c r="C1976" s="573"/>
      <c r="D1976" s="573"/>
      <c r="E1976" s="574"/>
      <c r="F1976" s="575"/>
    </row>
    <row r="1977" spans="1:6" ht="20.25">
      <c r="A1977" s="572"/>
      <c r="B1977" s="573"/>
      <c r="C1977" s="573"/>
      <c r="D1977" s="573"/>
      <c r="E1977" s="574"/>
      <c r="F1977" s="575"/>
    </row>
    <row r="1978" spans="1:6" ht="20.25">
      <c r="A1978" s="572"/>
      <c r="B1978" s="573"/>
      <c r="C1978" s="573"/>
      <c r="D1978" s="573"/>
      <c r="E1978" s="574"/>
      <c r="F1978" s="575"/>
    </row>
    <row r="1979" spans="1:6" ht="20.25">
      <c r="A1979" s="572"/>
      <c r="B1979" s="573"/>
      <c r="C1979" s="573"/>
      <c r="D1979" s="573"/>
      <c r="E1979" s="574"/>
      <c r="F1979" s="575"/>
    </row>
    <row r="1980" spans="1:6" ht="20.25">
      <c r="A1980" s="572"/>
      <c r="B1980" s="573"/>
      <c r="C1980" s="573"/>
      <c r="D1980" s="573"/>
      <c r="E1980" s="574"/>
      <c r="F1980" s="575"/>
    </row>
    <row r="1981" spans="1:6" ht="20.25">
      <c r="A1981" s="572"/>
      <c r="B1981" s="573"/>
      <c r="C1981" s="573"/>
      <c r="D1981" s="573"/>
      <c r="E1981" s="574"/>
      <c r="F1981" s="575"/>
    </row>
    <row r="1982" spans="1:6" ht="20.25">
      <c r="A1982" s="572"/>
      <c r="B1982" s="573"/>
      <c r="C1982" s="573"/>
      <c r="D1982" s="573"/>
      <c r="E1982" s="574"/>
      <c r="F1982" s="575"/>
    </row>
    <row r="1983" spans="1:6" ht="20.25">
      <c r="A1983" s="572"/>
      <c r="B1983" s="573"/>
      <c r="C1983" s="573"/>
      <c r="D1983" s="573"/>
      <c r="E1983" s="574"/>
      <c r="F1983" s="575"/>
    </row>
    <row r="1984" spans="1:6" ht="20.25">
      <c r="A1984" s="572"/>
      <c r="B1984" s="573"/>
      <c r="C1984" s="573"/>
      <c r="D1984" s="573"/>
      <c r="E1984" s="574"/>
      <c r="F1984" s="575"/>
    </row>
    <row r="1985" spans="1:6" ht="20.25">
      <c r="A1985" s="572"/>
      <c r="B1985" s="573"/>
      <c r="C1985" s="573"/>
      <c r="D1985" s="573"/>
      <c r="E1985" s="574"/>
      <c r="F1985" s="575"/>
    </row>
    <row r="1986" spans="1:6" ht="20.25">
      <c r="A1986" s="572"/>
      <c r="B1986" s="573"/>
      <c r="C1986" s="573"/>
      <c r="D1986" s="573"/>
      <c r="E1986" s="574"/>
      <c r="F1986" s="575"/>
    </row>
    <row r="1987" spans="1:6" ht="20.25">
      <c r="A1987" s="572"/>
      <c r="B1987" s="573"/>
      <c r="C1987" s="573"/>
      <c r="D1987" s="573"/>
      <c r="E1987" s="574"/>
      <c r="F1987" s="575"/>
    </row>
    <row r="1988" spans="1:6" ht="20.25">
      <c r="A1988" s="572"/>
      <c r="B1988" s="573"/>
      <c r="C1988" s="573"/>
      <c r="D1988" s="573"/>
      <c r="E1988" s="574"/>
      <c r="F1988" s="575"/>
    </row>
    <row r="1989" spans="1:6" ht="20.25">
      <c r="A1989" s="572"/>
      <c r="B1989" s="573"/>
      <c r="C1989" s="573"/>
      <c r="D1989" s="573"/>
      <c r="E1989" s="574"/>
      <c r="F1989" s="575"/>
    </row>
    <row r="1990" spans="1:6" ht="20.25">
      <c r="A1990" s="572"/>
      <c r="B1990" s="573"/>
      <c r="C1990" s="573"/>
      <c r="D1990" s="573"/>
      <c r="E1990" s="574"/>
      <c r="F1990" s="575"/>
    </row>
    <row r="1991" spans="1:6" ht="20.25">
      <c r="A1991" s="572"/>
      <c r="B1991" s="573"/>
      <c r="C1991" s="573"/>
      <c r="D1991" s="573"/>
      <c r="E1991" s="574"/>
      <c r="F1991" s="575"/>
    </row>
    <row r="1992" spans="1:6" ht="20.25">
      <c r="A1992" s="572"/>
      <c r="B1992" s="573"/>
      <c r="C1992" s="573"/>
      <c r="D1992" s="573"/>
      <c r="E1992" s="574"/>
      <c r="F1992" s="575"/>
    </row>
    <row r="1993" spans="1:6" ht="20.25">
      <c r="A1993" s="572"/>
      <c r="B1993" s="573"/>
      <c r="C1993" s="573"/>
      <c r="D1993" s="573"/>
      <c r="E1993" s="574"/>
      <c r="F1993" s="575"/>
    </row>
    <row r="1994" spans="1:6" ht="20.25">
      <c r="A1994" s="572"/>
      <c r="B1994" s="573"/>
      <c r="C1994" s="573"/>
      <c r="D1994" s="573"/>
      <c r="E1994" s="574"/>
      <c r="F1994" s="575"/>
    </row>
    <row r="1995" spans="1:6" ht="20.25">
      <c r="A1995" s="572"/>
      <c r="B1995" s="573"/>
      <c r="C1995" s="573"/>
      <c r="D1995" s="573"/>
      <c r="E1995" s="574"/>
      <c r="F1995" s="575"/>
    </row>
    <row r="1996" spans="1:6" ht="20.25">
      <c r="A1996" s="572"/>
      <c r="B1996" s="573"/>
      <c r="C1996" s="573"/>
      <c r="D1996" s="573"/>
      <c r="E1996" s="574"/>
      <c r="F1996" s="575"/>
    </row>
    <row r="1997" spans="1:6" ht="20.25">
      <c r="A1997" s="572"/>
      <c r="B1997" s="573"/>
      <c r="C1997" s="573"/>
      <c r="D1997" s="573"/>
      <c r="E1997" s="574"/>
      <c r="F1997" s="575"/>
    </row>
    <row r="1998" spans="1:6" ht="20.25">
      <c r="A1998" s="572"/>
      <c r="B1998" s="573"/>
      <c r="C1998" s="573"/>
      <c r="D1998" s="573"/>
      <c r="E1998" s="574"/>
      <c r="F1998" s="575"/>
    </row>
    <row r="1999" spans="1:6" ht="20.25">
      <c r="A1999" s="572"/>
      <c r="B1999" s="573"/>
      <c r="C1999" s="573"/>
      <c r="D1999" s="573"/>
      <c r="E1999" s="574"/>
      <c r="F1999" s="575"/>
    </row>
    <row r="2000" spans="1:6" ht="20.25">
      <c r="A2000" s="572"/>
      <c r="B2000" s="573"/>
      <c r="C2000" s="573"/>
      <c r="D2000" s="573"/>
      <c r="E2000" s="574"/>
      <c r="F2000" s="575"/>
    </row>
    <row r="2001" spans="1:6" ht="20.25">
      <c r="A2001" s="572"/>
      <c r="B2001" s="573"/>
      <c r="C2001" s="573"/>
      <c r="D2001" s="573"/>
      <c r="E2001" s="574"/>
      <c r="F2001" s="575"/>
    </row>
    <row r="2002" spans="1:6" ht="20.25">
      <c r="A2002" s="572"/>
      <c r="B2002" s="573"/>
      <c r="C2002" s="573"/>
      <c r="D2002" s="573"/>
      <c r="E2002" s="574"/>
      <c r="F2002" s="575"/>
    </row>
    <row r="2003" spans="1:6" ht="20.25">
      <c r="A2003" s="572"/>
      <c r="B2003" s="573"/>
      <c r="C2003" s="573"/>
      <c r="D2003" s="573"/>
      <c r="E2003" s="574"/>
      <c r="F2003" s="575"/>
    </row>
    <row r="2004" spans="1:6" ht="20.25">
      <c r="A2004" s="572"/>
      <c r="B2004" s="573"/>
      <c r="C2004" s="573"/>
      <c r="D2004" s="573"/>
      <c r="E2004" s="574"/>
      <c r="F2004" s="575"/>
    </row>
    <row r="2005" spans="1:6" ht="20.25">
      <c r="A2005" s="572"/>
      <c r="B2005" s="573"/>
      <c r="C2005" s="573"/>
      <c r="D2005" s="573"/>
      <c r="E2005" s="574"/>
      <c r="F2005" s="575"/>
    </row>
    <row r="2006" spans="1:6" ht="20.25">
      <c r="A2006" s="572"/>
      <c r="B2006" s="573"/>
      <c r="C2006" s="573"/>
      <c r="D2006" s="573"/>
      <c r="E2006" s="574"/>
      <c r="F2006" s="575"/>
    </row>
    <row r="2007" spans="1:6" ht="20.25">
      <c r="A2007" s="572"/>
      <c r="B2007" s="573"/>
      <c r="C2007" s="573"/>
      <c r="D2007" s="573"/>
      <c r="E2007" s="574"/>
      <c r="F2007" s="575"/>
    </row>
    <row r="2008" spans="1:6" ht="20.25">
      <c r="A2008" s="572"/>
      <c r="B2008" s="573"/>
      <c r="C2008" s="573"/>
      <c r="D2008" s="573"/>
      <c r="E2008" s="574"/>
      <c r="F2008" s="575"/>
    </row>
    <row r="2009" spans="1:6" ht="20.25">
      <c r="A2009" s="572"/>
      <c r="B2009" s="573"/>
      <c r="C2009" s="573"/>
      <c r="D2009" s="573"/>
      <c r="E2009" s="574"/>
      <c r="F2009" s="575"/>
    </row>
    <row r="2010" spans="1:6" ht="20.25">
      <c r="A2010" s="572"/>
      <c r="B2010" s="573"/>
      <c r="C2010" s="573"/>
      <c r="D2010" s="573"/>
      <c r="E2010" s="574"/>
      <c r="F2010" s="575"/>
    </row>
    <row r="2011" spans="1:6" ht="20.25">
      <c r="A2011" s="572"/>
      <c r="B2011" s="573"/>
      <c r="C2011" s="573"/>
      <c r="D2011" s="573"/>
      <c r="E2011" s="574"/>
      <c r="F2011" s="575"/>
    </row>
    <row r="2012" spans="1:6" ht="20.25">
      <c r="A2012" s="572"/>
      <c r="B2012" s="573"/>
      <c r="C2012" s="573"/>
      <c r="D2012" s="573"/>
      <c r="E2012" s="574"/>
      <c r="F2012" s="575"/>
    </row>
    <row r="2013" spans="1:6" ht="20.25">
      <c r="A2013" s="572"/>
      <c r="B2013" s="573"/>
      <c r="C2013" s="573"/>
      <c r="D2013" s="573"/>
      <c r="E2013" s="574"/>
      <c r="F2013" s="575"/>
    </row>
    <row r="2014" spans="1:6" ht="20.25">
      <c r="A2014" s="572"/>
      <c r="B2014" s="573"/>
      <c r="C2014" s="573"/>
      <c r="D2014" s="573"/>
      <c r="E2014" s="574"/>
      <c r="F2014" s="575"/>
    </row>
    <row r="2015" spans="1:6" ht="20.25">
      <c r="A2015" s="572"/>
      <c r="B2015" s="573"/>
      <c r="C2015" s="573"/>
      <c r="D2015" s="573"/>
      <c r="E2015" s="574"/>
      <c r="F2015" s="575"/>
    </row>
    <row r="2016" spans="1:6" ht="20.25">
      <c r="A2016" s="572"/>
      <c r="B2016" s="573"/>
      <c r="C2016" s="573"/>
      <c r="D2016" s="573"/>
      <c r="E2016" s="574"/>
      <c r="F2016" s="575"/>
    </row>
    <row r="2017" spans="1:6" ht="20.25">
      <c r="A2017" s="572"/>
      <c r="B2017" s="573"/>
      <c r="C2017" s="573"/>
      <c r="D2017" s="573"/>
      <c r="E2017" s="574"/>
      <c r="F2017" s="575"/>
    </row>
    <row r="2018" spans="1:6" ht="20.25">
      <c r="A2018" s="572"/>
      <c r="B2018" s="573"/>
      <c r="C2018" s="573"/>
      <c r="D2018" s="573"/>
      <c r="E2018" s="574"/>
      <c r="F2018" s="575"/>
    </row>
    <row r="2019" spans="1:6" ht="20.25">
      <c r="A2019" s="572"/>
      <c r="B2019" s="573"/>
      <c r="C2019" s="573"/>
      <c r="D2019" s="573"/>
      <c r="E2019" s="574"/>
      <c r="F2019" s="575"/>
    </row>
    <row r="2020" spans="1:6" ht="20.25">
      <c r="A2020" s="572"/>
      <c r="B2020" s="573"/>
      <c r="C2020" s="573"/>
      <c r="D2020" s="573"/>
      <c r="E2020" s="574"/>
      <c r="F2020" s="575"/>
    </row>
    <row r="2021" spans="1:6" ht="20.25">
      <c r="A2021" s="572"/>
      <c r="B2021" s="573"/>
      <c r="C2021" s="573"/>
      <c r="D2021" s="573"/>
      <c r="E2021" s="574"/>
      <c r="F2021" s="575"/>
    </row>
    <row r="2022" spans="1:6" ht="20.25">
      <c r="A2022" s="572"/>
      <c r="B2022" s="573"/>
      <c r="C2022" s="573"/>
      <c r="D2022" s="573"/>
      <c r="E2022" s="574"/>
      <c r="F2022" s="575"/>
    </row>
    <row r="2023" spans="1:6" ht="20.25">
      <c r="A2023" s="572"/>
      <c r="B2023" s="573"/>
      <c r="C2023" s="573"/>
      <c r="D2023" s="573"/>
      <c r="E2023" s="574"/>
      <c r="F2023" s="575"/>
    </row>
    <row r="2024" spans="1:6" ht="20.25">
      <c r="A2024" s="572"/>
      <c r="B2024" s="573"/>
      <c r="C2024" s="573"/>
      <c r="D2024" s="573"/>
      <c r="E2024" s="574"/>
      <c r="F2024" s="575"/>
    </row>
    <row r="2025" spans="1:6" ht="20.25">
      <c r="A2025" s="572"/>
      <c r="B2025" s="573"/>
      <c r="C2025" s="573"/>
      <c r="D2025" s="573"/>
      <c r="E2025" s="574"/>
      <c r="F2025" s="575"/>
    </row>
    <row r="2026" spans="1:6" ht="20.25">
      <c r="A2026" s="572"/>
      <c r="B2026" s="573"/>
      <c r="C2026" s="573"/>
      <c r="D2026" s="573"/>
      <c r="E2026" s="574"/>
      <c r="F2026" s="575"/>
    </row>
    <row r="2027" spans="1:6" ht="20.25">
      <c r="A2027" s="572"/>
      <c r="B2027" s="573"/>
      <c r="C2027" s="573"/>
      <c r="D2027" s="573"/>
      <c r="E2027" s="574"/>
      <c r="F2027" s="575"/>
    </row>
    <row r="2028" spans="1:6" ht="20.25">
      <c r="A2028" s="572"/>
      <c r="B2028" s="573"/>
      <c r="C2028" s="573"/>
      <c r="D2028" s="573"/>
      <c r="E2028" s="574"/>
      <c r="F2028" s="575"/>
    </row>
    <row r="2029" spans="1:6" ht="20.25">
      <c r="A2029" s="572"/>
      <c r="B2029" s="573"/>
      <c r="C2029" s="573"/>
      <c r="D2029" s="573"/>
      <c r="E2029" s="574"/>
      <c r="F2029" s="575"/>
    </row>
    <row r="2030" spans="1:6" ht="20.25">
      <c r="A2030" s="572"/>
      <c r="B2030" s="573"/>
      <c r="C2030" s="573"/>
      <c r="D2030" s="573"/>
      <c r="E2030" s="574"/>
      <c r="F2030" s="575"/>
    </row>
    <row r="2031" spans="1:6" ht="20.25">
      <c r="A2031" s="572"/>
      <c r="B2031" s="573"/>
      <c r="C2031" s="573"/>
      <c r="D2031" s="573"/>
      <c r="E2031" s="574"/>
      <c r="F2031" s="575"/>
    </row>
    <row r="2032" spans="1:6" ht="20.25">
      <c r="A2032" s="572"/>
      <c r="B2032" s="573"/>
      <c r="C2032" s="573"/>
      <c r="D2032" s="573"/>
      <c r="E2032" s="574"/>
      <c r="F2032" s="575"/>
    </row>
    <row r="2033" spans="1:6" ht="20.25">
      <c r="A2033" s="572"/>
      <c r="B2033" s="573"/>
      <c r="C2033" s="573"/>
      <c r="D2033" s="573"/>
      <c r="E2033" s="574"/>
      <c r="F2033" s="575"/>
    </row>
    <row r="2034" spans="1:6" ht="20.25">
      <c r="A2034" s="572"/>
      <c r="B2034" s="573"/>
      <c r="C2034" s="573"/>
      <c r="D2034" s="573"/>
      <c r="E2034" s="574"/>
      <c r="F2034" s="575"/>
    </row>
    <row r="2035" spans="1:6" ht="20.25">
      <c r="A2035" s="572"/>
      <c r="B2035" s="573"/>
      <c r="C2035" s="573"/>
      <c r="D2035" s="573"/>
      <c r="E2035" s="574"/>
      <c r="F2035" s="575"/>
    </row>
    <row r="2036" spans="1:6" ht="20.25">
      <c r="A2036" s="572"/>
      <c r="B2036" s="573"/>
      <c r="C2036" s="573"/>
      <c r="D2036" s="573"/>
      <c r="E2036" s="574"/>
      <c r="F2036" s="575"/>
    </row>
    <row r="2037" spans="1:6" ht="20.25">
      <c r="A2037" s="572"/>
      <c r="B2037" s="573"/>
      <c r="C2037" s="573"/>
      <c r="D2037" s="573"/>
      <c r="E2037" s="574"/>
      <c r="F2037" s="575"/>
    </row>
    <row r="2038" spans="1:6" ht="20.25">
      <c r="A2038" s="572"/>
      <c r="B2038" s="573"/>
      <c r="C2038" s="573"/>
      <c r="D2038" s="573"/>
      <c r="E2038" s="574"/>
      <c r="F2038" s="575"/>
    </row>
    <row r="2039" spans="1:6" ht="20.25">
      <c r="A2039" s="572"/>
      <c r="B2039" s="573"/>
      <c r="C2039" s="573"/>
      <c r="D2039" s="573"/>
      <c r="E2039" s="574"/>
      <c r="F2039" s="575"/>
    </row>
    <row r="2040" spans="1:6" ht="20.25">
      <c r="A2040" s="572"/>
      <c r="B2040" s="573"/>
      <c r="C2040" s="573"/>
      <c r="D2040" s="573"/>
      <c r="E2040" s="574"/>
      <c r="F2040" s="575"/>
    </row>
    <row r="2041" spans="1:6" ht="20.25">
      <c r="A2041" s="572"/>
      <c r="B2041" s="573"/>
      <c r="C2041" s="573"/>
      <c r="D2041" s="573"/>
      <c r="E2041" s="574"/>
      <c r="F2041" s="575"/>
    </row>
    <row r="2042" spans="1:6" ht="20.25">
      <c r="A2042" s="572"/>
      <c r="B2042" s="573"/>
      <c r="C2042" s="573"/>
      <c r="D2042" s="573"/>
      <c r="E2042" s="574"/>
      <c r="F2042" s="575"/>
    </row>
    <row r="2043" spans="1:6" ht="20.25">
      <c r="A2043" s="572"/>
      <c r="B2043" s="573"/>
      <c r="C2043" s="573"/>
      <c r="D2043" s="573"/>
      <c r="E2043" s="574"/>
      <c r="F2043" s="575"/>
    </row>
    <row r="2044" spans="1:6" ht="20.25">
      <c r="A2044" s="572"/>
      <c r="B2044" s="573"/>
      <c r="C2044" s="573"/>
      <c r="D2044" s="573"/>
      <c r="E2044" s="574"/>
      <c r="F2044" s="575"/>
    </row>
    <row r="2045" spans="1:6" ht="20.25">
      <c r="A2045" s="572"/>
      <c r="B2045" s="573"/>
      <c r="C2045" s="573"/>
      <c r="D2045" s="573"/>
      <c r="E2045" s="574"/>
      <c r="F2045" s="575"/>
    </row>
    <row r="2046" spans="1:6" ht="20.25">
      <c r="A2046" s="572"/>
      <c r="B2046" s="573"/>
      <c r="C2046" s="573"/>
      <c r="D2046" s="573"/>
      <c r="E2046" s="574"/>
      <c r="F2046" s="575"/>
    </row>
    <row r="2047" spans="1:6" ht="20.25">
      <c r="A2047" s="572"/>
      <c r="B2047" s="573"/>
      <c r="C2047" s="573"/>
      <c r="D2047" s="573"/>
      <c r="E2047" s="574"/>
      <c r="F2047" s="575"/>
    </row>
    <row r="2048" spans="1:6" ht="20.25">
      <c r="A2048" s="572"/>
      <c r="B2048" s="573"/>
      <c r="C2048" s="573"/>
      <c r="D2048" s="573"/>
      <c r="E2048" s="574"/>
      <c r="F2048" s="575"/>
    </row>
    <row r="2049" spans="1:6" ht="20.25">
      <c r="A2049" s="572"/>
      <c r="B2049" s="573"/>
      <c r="C2049" s="573"/>
      <c r="D2049" s="573"/>
      <c r="E2049" s="574"/>
      <c r="F2049" s="575"/>
    </row>
    <row r="2050" spans="1:6" ht="20.25">
      <c r="A2050" s="572"/>
      <c r="B2050" s="573"/>
      <c r="C2050" s="573"/>
      <c r="D2050" s="573"/>
      <c r="E2050" s="574"/>
      <c r="F2050" s="575"/>
    </row>
    <row r="2051" spans="1:6" ht="20.25">
      <c r="A2051" s="572"/>
      <c r="B2051" s="573"/>
      <c r="C2051" s="573"/>
      <c r="D2051" s="573"/>
      <c r="E2051" s="574"/>
      <c r="F2051" s="575"/>
    </row>
    <row r="2052" spans="1:6" ht="20.25">
      <c r="A2052" s="572"/>
      <c r="B2052" s="573"/>
      <c r="C2052" s="573"/>
      <c r="D2052" s="573"/>
      <c r="E2052" s="574"/>
      <c r="F2052" s="575"/>
    </row>
    <row r="2053" spans="1:6" ht="20.25">
      <c r="A2053" s="572"/>
      <c r="B2053" s="573"/>
      <c r="C2053" s="573"/>
      <c r="D2053" s="573"/>
      <c r="E2053" s="574"/>
      <c r="F2053" s="575"/>
    </row>
    <row r="2054" spans="1:6" ht="20.25">
      <c r="A2054" s="572"/>
      <c r="B2054" s="573"/>
      <c r="C2054" s="573"/>
      <c r="D2054" s="573"/>
      <c r="E2054" s="574"/>
      <c r="F2054" s="575"/>
    </row>
    <row r="2055" spans="1:6" ht="20.25">
      <c r="A2055" s="572"/>
      <c r="B2055" s="573"/>
      <c r="C2055" s="573"/>
      <c r="D2055" s="573"/>
      <c r="E2055" s="574"/>
      <c r="F2055" s="575"/>
    </row>
    <row r="2056" spans="1:6" ht="20.25">
      <c r="A2056" s="572"/>
      <c r="B2056" s="573"/>
      <c r="C2056" s="573"/>
      <c r="D2056" s="573"/>
      <c r="E2056" s="574"/>
      <c r="F2056" s="575"/>
    </row>
    <row r="2057" spans="1:6" ht="20.25">
      <c r="A2057" s="572"/>
      <c r="B2057" s="573"/>
      <c r="C2057" s="573"/>
      <c r="D2057" s="573"/>
      <c r="E2057" s="574"/>
      <c r="F2057" s="575"/>
    </row>
    <row r="2058" spans="1:6" ht="20.25">
      <c r="A2058" s="572"/>
      <c r="B2058" s="573"/>
      <c r="C2058" s="573"/>
      <c r="D2058" s="573"/>
      <c r="E2058" s="574"/>
      <c r="F2058" s="575"/>
    </row>
    <row r="2059" spans="1:6" ht="20.25">
      <c r="A2059" s="572"/>
      <c r="B2059" s="573"/>
      <c r="C2059" s="573"/>
      <c r="D2059" s="573"/>
      <c r="E2059" s="574"/>
      <c r="F2059" s="575"/>
    </row>
    <row r="2060" spans="1:6" ht="20.25">
      <c r="A2060" s="572"/>
      <c r="B2060" s="573"/>
      <c r="C2060" s="573"/>
      <c r="D2060" s="573"/>
      <c r="E2060" s="574"/>
      <c r="F2060" s="575"/>
    </row>
    <row r="2061" spans="1:6" ht="20.25">
      <c r="A2061" s="572"/>
      <c r="B2061" s="573"/>
      <c r="C2061" s="573"/>
      <c r="D2061" s="573"/>
      <c r="E2061" s="574"/>
      <c r="F2061" s="575"/>
    </row>
    <row r="2062" spans="1:6" ht="20.25">
      <c r="A2062" s="572"/>
      <c r="B2062" s="573"/>
      <c r="C2062" s="573"/>
      <c r="D2062" s="573"/>
      <c r="E2062" s="574"/>
      <c r="F2062" s="575"/>
    </row>
    <row r="2063" spans="1:6" ht="20.25">
      <c r="A2063" s="572"/>
      <c r="B2063" s="573"/>
      <c r="C2063" s="573"/>
      <c r="D2063" s="573"/>
      <c r="E2063" s="574"/>
      <c r="F2063" s="575"/>
    </row>
    <row r="2064" spans="1:6" ht="20.25">
      <c r="A2064" s="572"/>
      <c r="B2064" s="573"/>
      <c r="C2064" s="573"/>
      <c r="D2064" s="573"/>
      <c r="E2064" s="574"/>
      <c r="F2064" s="575"/>
    </row>
    <row r="2065" spans="1:6" ht="20.25">
      <c r="A2065" s="572"/>
      <c r="B2065" s="573"/>
      <c r="C2065" s="573"/>
      <c r="D2065" s="573"/>
      <c r="E2065" s="574"/>
      <c r="F2065" s="575"/>
    </row>
    <row r="2066" spans="1:6" ht="20.25">
      <c r="A2066" s="572"/>
      <c r="B2066" s="573"/>
      <c r="C2066" s="573"/>
      <c r="D2066" s="573"/>
      <c r="E2066" s="574"/>
      <c r="F2066" s="575"/>
    </row>
    <row r="2067" spans="1:6" ht="20.25">
      <c r="A2067" s="572"/>
      <c r="B2067" s="573"/>
      <c r="C2067" s="573"/>
      <c r="D2067" s="573"/>
      <c r="E2067" s="574"/>
      <c r="F2067" s="575"/>
    </row>
    <row r="2068" spans="1:6" ht="20.25">
      <c r="A2068" s="572"/>
      <c r="B2068" s="573"/>
      <c r="C2068" s="573"/>
      <c r="D2068" s="573"/>
      <c r="E2068" s="574"/>
      <c r="F2068" s="575"/>
    </row>
    <row r="2069" spans="1:6" ht="20.25">
      <c r="A2069" s="572"/>
      <c r="B2069" s="573"/>
      <c r="C2069" s="573"/>
      <c r="D2069" s="573"/>
      <c r="E2069" s="574"/>
      <c r="F2069" s="575"/>
    </row>
    <row r="2070" spans="1:6" ht="20.25">
      <c r="A2070" s="572"/>
      <c r="B2070" s="573"/>
      <c r="C2070" s="573"/>
      <c r="D2070" s="573"/>
      <c r="E2070" s="574"/>
      <c r="F2070" s="575"/>
    </row>
    <row r="2071" spans="1:6" ht="20.25">
      <c r="A2071" s="572"/>
      <c r="B2071" s="573"/>
      <c r="C2071" s="573"/>
      <c r="D2071" s="573"/>
      <c r="E2071" s="574"/>
      <c r="F2071" s="575"/>
    </row>
    <row r="2072" spans="1:6" ht="20.25">
      <c r="A2072" s="572"/>
      <c r="B2072" s="573"/>
      <c r="C2072" s="573"/>
      <c r="D2072" s="573"/>
      <c r="E2072" s="574"/>
      <c r="F2072" s="575"/>
    </row>
    <row r="2073" spans="1:6" ht="20.25">
      <c r="A2073" s="572"/>
      <c r="B2073" s="573"/>
      <c r="C2073" s="573"/>
      <c r="D2073" s="573"/>
      <c r="E2073" s="574"/>
      <c r="F2073" s="575"/>
    </row>
    <row r="2074" spans="1:6" ht="20.25">
      <c r="A2074" s="572"/>
      <c r="B2074" s="573"/>
      <c r="C2074" s="573"/>
      <c r="D2074" s="573"/>
      <c r="E2074" s="574"/>
      <c r="F2074" s="575"/>
    </row>
    <row r="2075" spans="1:6" ht="20.25">
      <c r="A2075" s="572"/>
      <c r="B2075" s="573"/>
      <c r="C2075" s="573"/>
      <c r="D2075" s="573"/>
      <c r="E2075" s="574"/>
      <c r="F2075" s="575"/>
    </row>
    <row r="2076" spans="1:6" ht="20.25">
      <c r="A2076" s="572"/>
      <c r="B2076" s="573"/>
      <c r="C2076" s="573"/>
      <c r="D2076" s="573"/>
      <c r="E2076" s="574"/>
      <c r="F2076" s="575"/>
    </row>
    <row r="2077" spans="1:6" ht="20.25">
      <c r="A2077" s="572"/>
      <c r="B2077" s="573"/>
      <c r="C2077" s="573"/>
      <c r="D2077" s="573"/>
      <c r="E2077" s="574"/>
      <c r="F2077" s="575"/>
    </row>
    <row r="2078" spans="1:6" ht="20.25">
      <c r="A2078" s="572"/>
      <c r="B2078" s="573"/>
      <c r="C2078" s="573"/>
      <c r="D2078" s="573"/>
      <c r="E2078" s="574"/>
      <c r="F2078" s="575"/>
    </row>
    <row r="2079" spans="1:6" ht="20.25">
      <c r="A2079" s="572"/>
      <c r="B2079" s="573"/>
      <c r="C2079" s="573"/>
      <c r="D2079" s="573"/>
      <c r="E2079" s="574"/>
      <c r="F2079" s="575"/>
    </row>
    <row r="2080" spans="1:6" ht="20.25">
      <c r="A2080" s="572"/>
      <c r="B2080" s="573"/>
      <c r="C2080" s="573"/>
      <c r="D2080" s="573"/>
      <c r="E2080" s="574"/>
      <c r="F2080" s="575"/>
    </row>
    <row r="2081" spans="1:6" ht="20.25">
      <c r="A2081" s="572"/>
      <c r="B2081" s="573"/>
      <c r="C2081" s="573"/>
      <c r="D2081" s="573"/>
      <c r="E2081" s="574"/>
      <c r="F2081" s="575"/>
    </row>
    <row r="2082" spans="1:6" ht="20.25">
      <c r="A2082" s="572"/>
      <c r="B2082" s="573"/>
      <c r="C2082" s="573"/>
      <c r="D2082" s="573"/>
      <c r="E2082" s="574"/>
      <c r="F2082" s="575"/>
    </row>
    <row r="2083" spans="1:6" ht="20.25">
      <c r="A2083" s="572"/>
      <c r="B2083" s="573"/>
      <c r="C2083" s="573"/>
      <c r="D2083" s="573"/>
      <c r="E2083" s="574"/>
      <c r="F2083" s="575"/>
    </row>
    <row r="2084" spans="1:6" ht="20.25">
      <c r="A2084" s="572"/>
      <c r="B2084" s="573"/>
      <c r="C2084" s="573"/>
      <c r="D2084" s="573"/>
      <c r="E2084" s="574"/>
      <c r="F2084" s="575"/>
    </row>
    <row r="2085" spans="1:6" ht="20.25">
      <c r="A2085" s="572"/>
      <c r="B2085" s="573"/>
      <c r="C2085" s="573"/>
      <c r="D2085" s="573"/>
      <c r="E2085" s="574"/>
      <c r="F2085" s="575"/>
    </row>
    <row r="2086" spans="1:6" ht="20.25">
      <c r="A2086" s="572"/>
      <c r="B2086" s="573"/>
      <c r="C2086" s="573"/>
      <c r="D2086" s="573"/>
      <c r="E2086" s="574"/>
      <c r="F2086" s="575"/>
    </row>
    <row r="2087" spans="1:6" ht="20.25">
      <c r="A2087" s="572"/>
      <c r="B2087" s="573"/>
      <c r="C2087" s="573"/>
      <c r="D2087" s="573"/>
      <c r="E2087" s="574"/>
      <c r="F2087" s="575"/>
    </row>
    <row r="2088" spans="1:6" ht="20.25">
      <c r="A2088" s="572"/>
      <c r="B2088" s="573"/>
      <c r="C2088" s="573"/>
      <c r="D2088" s="573"/>
      <c r="E2088" s="574"/>
      <c r="F2088" s="575"/>
    </row>
    <row r="2089" spans="1:6" ht="20.25">
      <c r="A2089" s="572"/>
      <c r="B2089" s="573"/>
      <c r="C2089" s="573"/>
      <c r="D2089" s="573"/>
      <c r="E2089" s="574"/>
      <c r="F2089" s="575"/>
    </row>
    <row r="2090" spans="1:6" ht="20.25">
      <c r="A2090" s="572"/>
      <c r="B2090" s="573"/>
      <c r="C2090" s="573"/>
      <c r="D2090" s="573"/>
      <c r="E2090" s="574"/>
      <c r="F2090" s="575"/>
    </row>
    <row r="2091" spans="1:6" ht="20.25">
      <c r="A2091" s="572"/>
      <c r="B2091" s="573"/>
      <c r="C2091" s="573"/>
      <c r="D2091" s="573"/>
      <c r="E2091" s="574"/>
      <c r="F2091" s="575"/>
    </row>
    <row r="2092" spans="1:6" ht="20.25">
      <c r="A2092" s="572"/>
      <c r="B2092" s="573"/>
      <c r="C2092" s="573"/>
      <c r="D2092" s="573"/>
      <c r="E2092" s="574"/>
      <c r="F2092" s="575"/>
    </row>
    <row r="2093" spans="1:6" ht="20.25">
      <c r="A2093" s="572"/>
      <c r="B2093" s="573"/>
      <c r="C2093" s="573"/>
      <c r="D2093" s="573"/>
      <c r="E2093" s="574"/>
      <c r="F2093" s="575"/>
    </row>
    <row r="2094" spans="1:6" ht="20.25">
      <c r="A2094" s="572"/>
      <c r="B2094" s="573"/>
      <c r="C2094" s="573"/>
      <c r="D2094" s="573"/>
      <c r="E2094" s="574"/>
      <c r="F2094" s="575"/>
    </row>
    <row r="2095" spans="1:6" ht="20.25">
      <c r="A2095" s="572"/>
      <c r="B2095" s="573"/>
      <c r="C2095" s="573"/>
      <c r="D2095" s="573"/>
      <c r="E2095" s="574"/>
      <c r="F2095" s="575"/>
    </row>
    <row r="2096" spans="1:6" ht="20.25">
      <c r="A2096" s="572"/>
      <c r="B2096" s="573"/>
      <c r="C2096" s="573"/>
      <c r="D2096" s="573"/>
      <c r="E2096" s="574"/>
      <c r="F2096" s="575"/>
    </row>
    <row r="2097" spans="1:6" ht="20.25">
      <c r="A2097" s="572"/>
      <c r="B2097" s="573"/>
      <c r="C2097" s="573"/>
      <c r="D2097" s="573"/>
      <c r="E2097" s="574"/>
      <c r="F2097" s="575"/>
    </row>
    <row r="2098" spans="1:6" ht="20.25">
      <c r="A2098" s="572"/>
      <c r="B2098" s="573"/>
      <c r="C2098" s="573"/>
      <c r="D2098" s="573"/>
      <c r="E2098" s="574"/>
      <c r="F2098" s="575"/>
    </row>
    <row r="2099" spans="1:6" ht="20.25">
      <c r="A2099" s="572"/>
      <c r="B2099" s="573"/>
      <c r="C2099" s="573"/>
      <c r="D2099" s="573"/>
      <c r="E2099" s="574"/>
      <c r="F2099" s="575"/>
    </row>
    <row r="2100" spans="1:6" ht="20.25">
      <c r="A2100" s="572"/>
      <c r="B2100" s="573"/>
      <c r="C2100" s="573"/>
      <c r="D2100" s="573"/>
      <c r="E2100" s="574"/>
      <c r="F2100" s="575"/>
    </row>
    <row r="2101" spans="1:6" ht="20.25">
      <c r="A2101" s="572"/>
      <c r="B2101" s="573"/>
      <c r="C2101" s="573"/>
      <c r="D2101" s="573"/>
      <c r="E2101" s="574"/>
      <c r="F2101" s="575"/>
    </row>
    <row r="2102" spans="1:6" ht="20.25">
      <c r="A2102" s="572"/>
      <c r="B2102" s="573"/>
      <c r="C2102" s="573"/>
      <c r="D2102" s="573"/>
      <c r="E2102" s="574"/>
      <c r="F2102" s="575"/>
    </row>
    <row r="2103" spans="1:6" ht="20.25">
      <c r="A2103" s="572"/>
      <c r="B2103" s="573"/>
      <c r="C2103" s="573"/>
      <c r="D2103" s="573"/>
      <c r="E2103" s="574"/>
      <c r="F2103" s="575"/>
    </row>
    <row r="2104" spans="1:6" ht="20.25">
      <c r="A2104" s="572"/>
      <c r="B2104" s="573"/>
      <c r="C2104" s="573"/>
      <c r="D2104" s="573"/>
      <c r="E2104" s="574"/>
      <c r="F2104" s="575"/>
    </row>
    <row r="2105" spans="1:6" ht="20.25">
      <c r="A2105" s="572"/>
      <c r="B2105" s="573"/>
      <c r="C2105" s="573"/>
      <c r="D2105" s="573"/>
      <c r="E2105" s="574"/>
      <c r="F2105" s="575"/>
    </row>
    <row r="2106" spans="1:6" ht="20.25">
      <c r="A2106" s="572"/>
      <c r="B2106" s="573"/>
      <c r="C2106" s="573"/>
      <c r="D2106" s="573"/>
      <c r="E2106" s="574"/>
      <c r="F2106" s="575"/>
    </row>
    <row r="2107" spans="1:6" ht="20.25">
      <c r="A2107" s="572"/>
      <c r="B2107" s="573"/>
      <c r="C2107" s="573"/>
      <c r="D2107" s="573"/>
      <c r="E2107" s="574"/>
      <c r="F2107" s="575"/>
    </row>
    <row r="2108" spans="1:6" ht="20.25">
      <c r="A2108" s="572"/>
      <c r="B2108" s="573"/>
      <c r="C2108" s="573"/>
      <c r="D2108" s="573"/>
      <c r="E2108" s="574"/>
      <c r="F2108" s="575"/>
    </row>
    <row r="2109" spans="1:6" ht="20.25">
      <c r="A2109" s="572"/>
      <c r="B2109" s="573"/>
      <c r="C2109" s="573"/>
      <c r="D2109" s="573"/>
      <c r="E2109" s="574"/>
      <c r="F2109" s="575"/>
    </row>
    <row r="2110" spans="1:6" ht="20.25">
      <c r="A2110" s="572"/>
      <c r="B2110" s="573"/>
      <c r="C2110" s="573"/>
      <c r="D2110" s="573"/>
      <c r="E2110" s="574"/>
      <c r="F2110" s="575"/>
    </row>
    <row r="2111" spans="1:6" ht="20.25">
      <c r="A2111" s="572"/>
      <c r="B2111" s="573"/>
      <c r="C2111" s="573"/>
      <c r="D2111" s="573"/>
      <c r="E2111" s="574"/>
      <c r="F2111" s="575"/>
    </row>
    <row r="2112" spans="1:6" ht="20.25">
      <c r="A2112" s="572"/>
      <c r="B2112" s="573"/>
      <c r="C2112" s="573"/>
      <c r="D2112" s="573"/>
      <c r="E2112" s="574"/>
      <c r="F2112" s="575"/>
    </row>
    <row r="2113" spans="1:6" ht="20.25">
      <c r="A2113" s="572"/>
      <c r="B2113" s="573"/>
      <c r="C2113" s="573"/>
      <c r="D2113" s="573"/>
      <c r="E2113" s="574"/>
      <c r="F2113" s="575"/>
    </row>
    <row r="2114" spans="1:6" ht="20.25">
      <c r="A2114" s="572"/>
      <c r="B2114" s="573"/>
      <c r="C2114" s="573"/>
      <c r="D2114" s="573"/>
      <c r="E2114" s="574"/>
      <c r="F2114" s="575"/>
    </row>
    <row r="2115" spans="1:6" ht="20.25">
      <c r="A2115" s="572"/>
      <c r="B2115" s="573"/>
      <c r="C2115" s="573"/>
      <c r="D2115" s="573"/>
      <c r="E2115" s="574"/>
      <c r="F2115" s="575"/>
    </row>
    <row r="2116" spans="1:6" ht="20.25">
      <c r="A2116" s="572"/>
      <c r="B2116" s="573"/>
      <c r="C2116" s="573"/>
      <c r="D2116" s="573"/>
      <c r="E2116" s="574"/>
      <c r="F2116" s="575"/>
    </row>
    <row r="2117" spans="1:6" ht="20.25">
      <c r="A2117" s="572"/>
      <c r="B2117" s="573"/>
      <c r="C2117" s="573"/>
      <c r="D2117" s="573"/>
      <c r="E2117" s="574"/>
      <c r="F2117" s="575"/>
    </row>
    <row r="2118" spans="1:6" ht="20.25">
      <c r="A2118" s="572"/>
      <c r="B2118" s="573"/>
      <c r="C2118" s="573"/>
      <c r="D2118" s="573"/>
      <c r="E2118" s="574"/>
      <c r="F2118" s="575"/>
    </row>
    <row r="2119" spans="1:6" ht="20.25">
      <c r="A2119" s="572"/>
      <c r="B2119" s="573"/>
      <c r="C2119" s="573"/>
      <c r="D2119" s="573"/>
      <c r="E2119" s="574"/>
      <c r="F2119" s="575"/>
    </row>
    <row r="2120" spans="1:6" ht="20.25">
      <c r="A2120" s="572"/>
      <c r="B2120" s="573"/>
      <c r="C2120" s="573"/>
      <c r="D2120" s="573"/>
      <c r="E2120" s="574"/>
      <c r="F2120" s="575"/>
    </row>
    <row r="2121" spans="1:6" ht="20.25">
      <c r="A2121" s="572"/>
      <c r="B2121" s="573"/>
      <c r="C2121" s="573"/>
      <c r="D2121" s="573"/>
      <c r="E2121" s="574"/>
      <c r="F2121" s="575"/>
    </row>
    <row r="2122" spans="1:6" ht="20.25">
      <c r="A2122" s="572"/>
      <c r="B2122" s="573"/>
      <c r="C2122" s="573"/>
      <c r="D2122" s="573"/>
      <c r="E2122" s="574"/>
      <c r="F2122" s="575"/>
    </row>
    <row r="2123" spans="1:6" ht="20.25">
      <c r="A2123" s="572"/>
      <c r="B2123" s="573"/>
      <c r="C2123" s="573"/>
      <c r="D2123" s="573"/>
      <c r="E2123" s="574"/>
      <c r="F2123" s="575"/>
    </row>
    <row r="2124" spans="1:6" ht="20.25">
      <c r="A2124" s="572"/>
      <c r="B2124" s="573"/>
      <c r="C2124" s="573"/>
      <c r="D2124" s="573"/>
      <c r="E2124" s="574"/>
      <c r="F2124" s="575"/>
    </row>
    <row r="2125" spans="1:6" ht="20.25">
      <c r="A2125" s="572"/>
      <c r="B2125" s="573"/>
      <c r="C2125" s="573"/>
      <c r="D2125" s="573"/>
      <c r="E2125" s="574"/>
      <c r="F2125" s="575"/>
    </row>
    <row r="2126" spans="1:6" ht="20.25">
      <c r="A2126" s="572"/>
      <c r="B2126" s="573"/>
      <c r="C2126" s="573"/>
      <c r="D2126" s="573"/>
      <c r="E2126" s="574"/>
      <c r="F2126" s="575"/>
    </row>
    <row r="2127" spans="1:6" ht="20.25">
      <c r="A2127" s="572"/>
      <c r="B2127" s="573"/>
      <c r="C2127" s="573"/>
      <c r="D2127" s="573"/>
      <c r="E2127" s="574"/>
      <c r="F2127" s="575"/>
    </row>
    <row r="2128" spans="1:6" ht="20.25">
      <c r="A2128" s="572"/>
      <c r="B2128" s="573"/>
      <c r="C2128" s="573"/>
      <c r="D2128" s="573"/>
      <c r="E2128" s="574"/>
      <c r="F2128" s="575"/>
    </row>
    <row r="2129" spans="1:6" ht="20.25">
      <c r="A2129" s="572"/>
      <c r="B2129" s="573"/>
      <c r="C2129" s="573"/>
      <c r="D2129" s="573"/>
      <c r="E2129" s="574"/>
      <c r="F2129" s="575"/>
    </row>
    <row r="2130" spans="1:6" ht="20.25">
      <c r="A2130" s="572"/>
      <c r="B2130" s="573"/>
      <c r="C2130" s="573"/>
      <c r="D2130" s="573"/>
      <c r="E2130" s="574"/>
      <c r="F2130" s="575"/>
    </row>
    <row r="2131" spans="1:6" ht="20.25">
      <c r="A2131" s="572"/>
      <c r="B2131" s="573"/>
      <c r="C2131" s="573"/>
      <c r="D2131" s="573"/>
      <c r="E2131" s="574"/>
      <c r="F2131" s="575"/>
    </row>
    <row r="2132" spans="1:6" ht="20.25">
      <c r="A2132" s="572"/>
      <c r="B2132" s="573"/>
      <c r="C2132" s="573"/>
      <c r="D2132" s="573"/>
      <c r="E2132" s="574"/>
      <c r="F2132" s="575"/>
    </row>
    <row r="2133" spans="1:6" ht="20.25">
      <c r="A2133" s="572"/>
      <c r="B2133" s="573"/>
      <c r="C2133" s="573"/>
      <c r="D2133" s="573"/>
      <c r="E2133" s="574"/>
      <c r="F2133" s="575"/>
    </row>
    <row r="2134" spans="1:6" ht="20.25">
      <c r="A2134" s="572"/>
      <c r="B2134" s="573"/>
      <c r="C2134" s="573"/>
      <c r="D2134" s="573"/>
      <c r="E2134" s="574"/>
      <c r="F2134" s="575"/>
    </row>
    <row r="2135" spans="1:6" ht="20.25">
      <c r="A2135" s="572"/>
      <c r="B2135" s="573"/>
      <c r="C2135" s="573"/>
      <c r="D2135" s="573"/>
      <c r="E2135" s="574"/>
      <c r="F2135" s="575"/>
    </row>
    <row r="2136" spans="1:6" ht="20.25">
      <c r="A2136" s="572"/>
      <c r="B2136" s="573"/>
      <c r="C2136" s="573"/>
      <c r="D2136" s="573"/>
      <c r="E2136" s="574"/>
      <c r="F2136" s="575"/>
    </row>
    <row r="2137" spans="1:6" ht="20.25">
      <c r="A2137" s="572"/>
      <c r="B2137" s="573"/>
      <c r="C2137" s="573"/>
      <c r="D2137" s="573"/>
      <c r="E2137" s="574"/>
      <c r="F2137" s="575"/>
    </row>
    <row r="2138" spans="1:6" ht="20.25">
      <c r="A2138" s="572"/>
      <c r="B2138" s="573"/>
      <c r="C2138" s="573"/>
      <c r="D2138" s="573"/>
      <c r="E2138" s="574"/>
      <c r="F2138" s="575"/>
    </row>
    <row r="2139" spans="1:6" ht="20.25">
      <c r="A2139" s="572"/>
      <c r="B2139" s="573"/>
      <c r="C2139" s="573"/>
      <c r="D2139" s="573"/>
      <c r="E2139" s="574"/>
      <c r="F2139" s="575"/>
    </row>
    <row r="2140" spans="1:6" ht="20.25">
      <c r="A2140" s="572"/>
      <c r="B2140" s="573"/>
      <c r="C2140" s="573"/>
      <c r="D2140" s="573"/>
      <c r="E2140" s="574"/>
      <c r="F2140" s="575"/>
    </row>
    <row r="2141" spans="1:6" ht="20.25">
      <c r="A2141" s="572"/>
      <c r="B2141" s="573"/>
      <c r="C2141" s="573"/>
      <c r="D2141" s="573"/>
      <c r="E2141" s="574"/>
      <c r="F2141" s="575"/>
    </row>
    <row r="2142" spans="1:6" ht="20.25">
      <c r="A2142" s="572"/>
      <c r="B2142" s="573"/>
      <c r="C2142" s="573"/>
      <c r="D2142" s="573"/>
      <c r="E2142" s="574"/>
      <c r="F2142" s="575"/>
    </row>
    <row r="2143" spans="1:6" ht="20.25">
      <c r="A2143" s="572"/>
      <c r="B2143" s="573"/>
      <c r="C2143" s="573"/>
      <c r="D2143" s="573"/>
      <c r="E2143" s="574"/>
      <c r="F2143" s="575"/>
    </row>
    <row r="2144" spans="1:6" ht="20.25">
      <c r="A2144" s="572"/>
      <c r="B2144" s="573"/>
      <c r="C2144" s="573"/>
      <c r="D2144" s="573"/>
      <c r="E2144" s="574"/>
      <c r="F2144" s="575"/>
    </row>
    <row r="2145" spans="1:6" ht="20.25">
      <c r="A2145" s="572"/>
      <c r="B2145" s="573"/>
      <c r="C2145" s="573"/>
      <c r="D2145" s="573"/>
      <c r="E2145" s="574"/>
      <c r="F2145" s="575"/>
    </row>
    <row r="2146" spans="1:6" ht="20.25">
      <c r="A2146" s="572"/>
      <c r="B2146" s="573"/>
      <c r="C2146" s="573"/>
      <c r="D2146" s="573"/>
      <c r="E2146" s="574"/>
      <c r="F2146" s="575"/>
    </row>
    <row r="2147" spans="1:6" ht="20.25">
      <c r="A2147" s="572"/>
      <c r="B2147" s="573"/>
      <c r="C2147" s="573"/>
      <c r="D2147" s="573"/>
      <c r="E2147" s="574"/>
      <c r="F2147" s="575"/>
    </row>
    <row r="2148" spans="1:6" ht="20.25">
      <c r="A2148" s="572"/>
      <c r="B2148" s="573"/>
      <c r="C2148" s="573"/>
      <c r="D2148" s="573"/>
      <c r="E2148" s="574"/>
      <c r="F2148" s="575"/>
    </row>
    <row r="2149" spans="1:6" ht="20.25">
      <c r="A2149" s="572"/>
      <c r="B2149" s="573"/>
      <c r="C2149" s="573"/>
      <c r="D2149" s="573"/>
      <c r="E2149" s="574"/>
      <c r="F2149" s="575"/>
    </row>
    <row r="2150" spans="1:6" ht="20.25">
      <c r="A2150" s="572"/>
      <c r="B2150" s="573"/>
      <c r="C2150" s="573"/>
      <c r="D2150" s="573"/>
      <c r="E2150" s="574"/>
      <c r="F2150" s="575"/>
    </row>
    <row r="2151" spans="1:6" ht="20.25">
      <c r="A2151" s="572"/>
      <c r="B2151" s="573"/>
      <c r="C2151" s="573"/>
      <c r="D2151" s="573"/>
      <c r="E2151" s="574"/>
      <c r="F2151" s="575"/>
    </row>
    <row r="2152" spans="1:6" ht="20.25">
      <c r="A2152" s="572"/>
      <c r="B2152" s="573"/>
      <c r="C2152" s="573"/>
      <c r="D2152" s="573"/>
      <c r="E2152" s="574"/>
      <c r="F2152" s="575"/>
    </row>
    <row r="2153" spans="1:6" ht="20.25">
      <c r="A2153" s="572"/>
      <c r="B2153" s="573"/>
      <c r="C2153" s="573"/>
      <c r="D2153" s="573"/>
      <c r="E2153" s="574"/>
      <c r="F2153" s="575"/>
    </row>
    <row r="2154" spans="1:6" ht="20.25">
      <c r="A2154" s="572"/>
      <c r="B2154" s="573"/>
      <c r="C2154" s="573"/>
      <c r="D2154" s="573"/>
      <c r="E2154" s="574"/>
      <c r="F2154" s="575"/>
    </row>
    <row r="2155" spans="1:6" ht="20.25">
      <c r="A2155" s="572"/>
      <c r="B2155" s="573"/>
      <c r="C2155" s="573"/>
      <c r="D2155" s="573"/>
      <c r="E2155" s="574"/>
      <c r="F2155" s="575"/>
    </row>
    <row r="2156" spans="1:6" ht="20.25">
      <c r="A2156" s="572"/>
      <c r="B2156" s="573"/>
      <c r="C2156" s="573"/>
      <c r="D2156" s="573"/>
      <c r="E2156" s="574"/>
      <c r="F2156" s="575"/>
    </row>
    <row r="2157" spans="1:6" ht="20.25">
      <c r="A2157" s="572"/>
      <c r="B2157" s="573"/>
      <c r="C2157" s="573"/>
      <c r="D2157" s="573"/>
      <c r="E2157" s="574"/>
      <c r="F2157" s="575"/>
    </row>
    <row r="2158" spans="1:6" ht="20.25">
      <c r="A2158" s="572"/>
      <c r="B2158" s="573"/>
      <c r="C2158" s="573"/>
      <c r="D2158" s="573"/>
      <c r="E2158" s="574"/>
      <c r="F2158" s="575"/>
    </row>
    <row r="2159" spans="1:6" ht="20.25">
      <c r="A2159" s="572"/>
      <c r="B2159" s="573"/>
      <c r="C2159" s="573"/>
      <c r="D2159" s="573"/>
      <c r="E2159" s="574"/>
      <c r="F2159" s="575"/>
    </row>
    <row r="2160" spans="1:6" ht="20.25">
      <c r="A2160" s="572"/>
      <c r="B2160" s="573"/>
      <c r="C2160" s="573"/>
      <c r="D2160" s="573"/>
      <c r="E2160" s="574"/>
      <c r="F2160" s="575"/>
    </row>
    <row r="2161" spans="1:6" ht="20.25">
      <c r="A2161" s="572"/>
      <c r="B2161" s="573"/>
      <c r="C2161" s="573"/>
      <c r="D2161" s="573"/>
      <c r="E2161" s="574"/>
      <c r="F2161" s="575"/>
    </row>
    <row r="2162" spans="1:6" ht="20.25">
      <c r="A2162" s="572"/>
      <c r="B2162" s="573"/>
      <c r="C2162" s="573"/>
      <c r="D2162" s="573"/>
      <c r="E2162" s="574"/>
      <c r="F2162" s="575"/>
    </row>
    <row r="2163" spans="1:6" ht="20.25">
      <c r="A2163" s="572"/>
      <c r="B2163" s="573"/>
      <c r="C2163" s="573"/>
      <c r="D2163" s="573"/>
      <c r="E2163" s="574"/>
      <c r="F2163" s="575"/>
    </row>
    <row r="2164" spans="1:6" ht="20.25">
      <c r="A2164" s="572"/>
      <c r="B2164" s="573"/>
      <c r="C2164" s="573"/>
      <c r="D2164" s="573"/>
      <c r="E2164" s="574"/>
      <c r="F2164" s="575"/>
    </row>
    <row r="2165" spans="1:6" ht="20.25">
      <c r="A2165" s="572"/>
      <c r="B2165" s="573"/>
      <c r="C2165" s="573"/>
      <c r="D2165" s="573"/>
      <c r="E2165" s="574"/>
      <c r="F2165" s="575"/>
    </row>
    <row r="2166" spans="1:6" ht="20.25">
      <c r="A2166" s="572"/>
      <c r="B2166" s="573"/>
      <c r="C2166" s="573"/>
      <c r="D2166" s="573"/>
      <c r="E2166" s="574"/>
      <c r="F2166" s="575"/>
    </row>
    <row r="2167" spans="1:6" ht="20.25">
      <c r="A2167" s="572"/>
      <c r="B2167" s="573"/>
      <c r="C2167" s="573"/>
      <c r="D2167" s="573"/>
      <c r="E2167" s="574"/>
      <c r="F2167" s="575"/>
    </row>
    <row r="2168" spans="1:6" ht="20.25">
      <c r="A2168" s="572"/>
      <c r="B2168" s="573"/>
      <c r="C2168" s="573"/>
      <c r="D2168" s="573"/>
      <c r="E2168" s="574"/>
      <c r="F2168" s="575"/>
    </row>
    <row r="2169" spans="1:6" ht="20.25">
      <c r="A2169" s="572"/>
      <c r="B2169" s="573"/>
      <c r="C2169" s="573"/>
      <c r="D2169" s="573"/>
      <c r="E2169" s="574"/>
      <c r="F2169" s="575"/>
    </row>
    <row r="2170" spans="1:6" ht="20.25">
      <c r="A2170" s="572"/>
      <c r="B2170" s="573"/>
      <c r="C2170" s="573"/>
      <c r="D2170" s="573"/>
      <c r="E2170" s="574"/>
      <c r="F2170" s="575"/>
    </row>
    <row r="2171" spans="1:6" ht="20.25">
      <c r="A2171" s="572"/>
      <c r="B2171" s="573"/>
      <c r="C2171" s="573"/>
      <c r="D2171" s="573"/>
      <c r="E2171" s="574"/>
      <c r="F2171" s="575"/>
    </row>
    <row r="2172" spans="1:6" ht="20.25">
      <c r="A2172" s="572"/>
      <c r="B2172" s="573"/>
      <c r="C2172" s="573"/>
      <c r="D2172" s="573"/>
      <c r="E2172" s="574"/>
      <c r="F2172" s="575"/>
    </row>
    <row r="2173" spans="1:6" ht="20.25">
      <c r="A2173" s="572"/>
      <c r="B2173" s="573"/>
      <c r="C2173" s="573"/>
      <c r="D2173" s="573"/>
      <c r="E2173" s="574"/>
      <c r="F2173" s="575"/>
    </row>
    <row r="2174" spans="1:6" ht="20.25">
      <c r="A2174" s="572"/>
      <c r="B2174" s="573"/>
      <c r="C2174" s="573"/>
      <c r="D2174" s="573"/>
      <c r="E2174" s="574"/>
      <c r="F2174" s="575"/>
    </row>
    <row r="2175" spans="1:6" ht="20.25">
      <c r="A2175" s="572"/>
      <c r="B2175" s="573"/>
      <c r="C2175" s="573"/>
      <c r="D2175" s="573"/>
      <c r="E2175" s="574"/>
      <c r="F2175" s="575"/>
    </row>
    <row r="2176" spans="1:6" ht="20.25">
      <c r="A2176" s="572"/>
      <c r="B2176" s="573"/>
      <c r="C2176" s="573"/>
      <c r="D2176" s="573"/>
      <c r="E2176" s="574"/>
      <c r="F2176" s="575"/>
    </row>
    <row r="2177" spans="1:6" ht="20.25">
      <c r="A2177" s="572"/>
      <c r="B2177" s="573"/>
      <c r="C2177" s="573"/>
      <c r="D2177" s="573"/>
      <c r="E2177" s="574"/>
      <c r="F2177" s="575"/>
    </row>
    <row r="2178" spans="1:6" ht="20.25">
      <c r="A2178" s="572"/>
      <c r="B2178" s="573"/>
      <c r="C2178" s="573"/>
      <c r="D2178" s="573"/>
      <c r="E2178" s="574"/>
      <c r="F2178" s="575"/>
    </row>
    <row r="2179" spans="1:6" ht="20.25">
      <c r="A2179" s="572"/>
      <c r="B2179" s="573"/>
      <c r="C2179" s="573"/>
      <c r="D2179" s="573"/>
      <c r="E2179" s="574"/>
      <c r="F2179" s="575"/>
    </row>
    <row r="2180" spans="1:6" ht="20.25">
      <c r="A2180" s="572"/>
      <c r="B2180" s="573"/>
      <c r="C2180" s="573"/>
      <c r="D2180" s="573"/>
      <c r="E2180" s="574"/>
      <c r="F2180" s="575"/>
    </row>
    <row r="2181" spans="1:6" ht="20.25">
      <c r="A2181" s="572"/>
      <c r="B2181" s="573"/>
      <c r="C2181" s="573"/>
      <c r="D2181" s="573"/>
      <c r="E2181" s="574"/>
      <c r="F2181" s="575"/>
    </row>
    <row r="2182" spans="1:6" ht="20.25">
      <c r="A2182" s="572"/>
      <c r="B2182" s="573"/>
      <c r="C2182" s="573"/>
      <c r="D2182" s="573"/>
      <c r="E2182" s="574"/>
      <c r="F2182" s="575"/>
    </row>
    <row r="2183" spans="1:6" ht="20.25">
      <c r="A2183" s="572"/>
      <c r="B2183" s="573"/>
      <c r="C2183" s="573"/>
      <c r="D2183" s="573"/>
      <c r="E2183" s="574"/>
      <c r="F2183" s="575"/>
    </row>
    <row r="2184" spans="1:6" ht="20.25">
      <c r="A2184" s="572"/>
      <c r="B2184" s="573"/>
      <c r="C2184" s="573"/>
      <c r="D2184" s="573"/>
      <c r="E2184" s="574"/>
      <c r="F2184" s="575"/>
    </row>
    <row r="2185" spans="1:6" ht="20.25">
      <c r="A2185" s="572"/>
      <c r="B2185" s="573"/>
      <c r="C2185" s="573"/>
      <c r="D2185" s="573"/>
      <c r="E2185" s="574"/>
      <c r="F2185" s="575"/>
    </row>
    <row r="2186" spans="1:6" ht="20.25">
      <c r="A2186" s="572"/>
      <c r="B2186" s="573"/>
      <c r="C2186" s="573"/>
      <c r="D2186" s="573"/>
      <c r="E2186" s="574"/>
      <c r="F2186" s="575"/>
    </row>
    <row r="2187" spans="1:6" ht="20.25">
      <c r="A2187" s="572"/>
      <c r="B2187" s="573"/>
      <c r="C2187" s="573"/>
      <c r="D2187" s="573"/>
      <c r="E2187" s="574"/>
      <c r="F2187" s="575"/>
    </row>
    <row r="2188" spans="1:6" ht="20.25">
      <c r="A2188" s="572"/>
      <c r="B2188" s="573"/>
      <c r="C2188" s="573"/>
      <c r="D2188" s="573"/>
      <c r="E2188" s="574"/>
      <c r="F2188" s="575"/>
    </row>
    <row r="2189" spans="1:6" ht="20.25">
      <c r="A2189" s="572"/>
      <c r="B2189" s="573"/>
      <c r="C2189" s="573"/>
      <c r="D2189" s="573"/>
      <c r="E2189" s="574"/>
      <c r="F2189" s="575"/>
    </row>
    <row r="2190" spans="1:6" ht="20.25">
      <c r="A2190" s="572"/>
      <c r="B2190" s="573"/>
      <c r="C2190" s="573"/>
      <c r="D2190" s="573"/>
      <c r="E2190" s="574"/>
      <c r="F2190" s="575"/>
    </row>
    <row r="2191" spans="1:6" ht="20.25">
      <c r="A2191" s="572"/>
      <c r="B2191" s="573"/>
      <c r="C2191" s="573"/>
      <c r="D2191" s="573"/>
      <c r="E2191" s="574"/>
      <c r="F2191" s="575"/>
    </row>
    <row r="2192" spans="1:6" ht="20.25">
      <c r="A2192" s="572"/>
      <c r="B2192" s="573"/>
      <c r="C2192" s="573"/>
      <c r="D2192" s="573"/>
      <c r="E2192" s="574"/>
      <c r="F2192" s="575"/>
    </row>
    <row r="2193" spans="1:6" ht="20.25">
      <c r="A2193" s="572"/>
      <c r="B2193" s="573"/>
      <c r="C2193" s="573"/>
      <c r="D2193" s="573"/>
      <c r="E2193" s="574"/>
      <c r="F2193" s="575"/>
    </row>
    <row r="2194" spans="1:6" ht="20.25">
      <c r="A2194" s="572"/>
      <c r="B2194" s="573"/>
      <c r="C2194" s="573"/>
      <c r="D2194" s="573"/>
      <c r="E2194" s="574"/>
      <c r="F2194" s="575"/>
    </row>
    <row r="2195" spans="1:6" ht="20.25">
      <c r="A2195" s="572"/>
      <c r="B2195" s="573"/>
      <c r="C2195" s="573"/>
      <c r="D2195" s="573"/>
      <c r="E2195" s="574"/>
      <c r="F2195" s="575"/>
    </row>
    <row r="2196" spans="1:6" ht="20.25">
      <c r="A2196" s="572"/>
      <c r="B2196" s="573"/>
      <c r="C2196" s="573"/>
      <c r="D2196" s="573"/>
      <c r="E2196" s="574"/>
      <c r="F2196" s="575"/>
    </row>
    <row r="2197" spans="1:6" ht="20.25">
      <c r="A2197" s="572"/>
      <c r="B2197" s="573"/>
      <c r="C2197" s="573"/>
      <c r="D2197" s="573"/>
      <c r="E2197" s="574"/>
      <c r="F2197" s="575"/>
    </row>
    <row r="2198" spans="1:6" ht="20.25">
      <c r="A2198" s="572"/>
      <c r="B2198" s="573"/>
      <c r="C2198" s="573"/>
      <c r="D2198" s="573"/>
      <c r="E2198" s="574"/>
      <c r="F2198" s="575"/>
    </row>
    <row r="2199" spans="1:6" ht="20.25">
      <c r="A2199" s="572"/>
      <c r="B2199" s="573"/>
      <c r="C2199" s="573"/>
      <c r="D2199" s="573"/>
      <c r="E2199" s="574"/>
      <c r="F2199" s="575"/>
    </row>
    <row r="2200" spans="1:6" ht="20.25">
      <c r="A2200" s="572"/>
      <c r="B2200" s="573"/>
      <c r="C2200" s="573"/>
      <c r="D2200" s="573"/>
      <c r="E2200" s="574"/>
      <c r="F2200" s="575"/>
    </row>
    <row r="2201" spans="1:6" ht="20.25">
      <c r="A2201" s="572"/>
      <c r="B2201" s="573"/>
      <c r="C2201" s="573"/>
      <c r="D2201" s="573"/>
      <c r="E2201" s="574"/>
      <c r="F2201" s="575"/>
    </row>
    <row r="2202" spans="1:6" ht="20.25">
      <c r="A2202" s="572"/>
      <c r="B2202" s="573"/>
      <c r="C2202" s="573"/>
      <c r="D2202" s="573"/>
      <c r="E2202" s="574"/>
      <c r="F2202" s="575"/>
    </row>
    <row r="2203" spans="1:6" ht="20.25">
      <c r="A2203" s="572"/>
      <c r="B2203" s="573"/>
      <c r="C2203" s="573"/>
      <c r="D2203" s="573"/>
      <c r="E2203" s="574"/>
      <c r="F2203" s="575"/>
    </row>
    <row r="2204" spans="1:6" ht="20.25">
      <c r="A2204" s="572"/>
      <c r="B2204" s="573"/>
      <c r="C2204" s="573"/>
      <c r="D2204" s="573"/>
      <c r="E2204" s="574"/>
      <c r="F2204" s="575"/>
    </row>
    <row r="2205" spans="1:6" ht="20.25">
      <c r="A2205" s="572"/>
      <c r="B2205" s="573"/>
      <c r="C2205" s="573"/>
      <c r="D2205" s="573"/>
      <c r="E2205" s="574"/>
      <c r="F2205" s="575"/>
    </row>
    <row r="2206" spans="1:6" ht="20.25">
      <c r="A2206" s="572"/>
      <c r="B2206" s="573"/>
      <c r="C2206" s="573"/>
      <c r="D2206" s="573"/>
      <c r="E2206" s="574"/>
      <c r="F2206" s="575"/>
    </row>
    <row r="2207" spans="1:6" ht="20.25">
      <c r="A2207" s="572"/>
      <c r="B2207" s="573"/>
      <c r="C2207" s="573"/>
      <c r="D2207" s="573"/>
      <c r="E2207" s="574"/>
      <c r="F2207" s="575"/>
    </row>
    <row r="2208" spans="1:6" ht="20.25">
      <c r="A2208" s="572"/>
      <c r="B2208" s="573"/>
      <c r="C2208" s="573"/>
      <c r="D2208" s="573"/>
      <c r="E2208" s="574"/>
      <c r="F2208" s="575"/>
    </row>
    <row r="2209" spans="1:6" ht="20.25">
      <c r="A2209" s="572"/>
      <c r="B2209" s="573"/>
      <c r="C2209" s="573"/>
      <c r="D2209" s="573"/>
      <c r="E2209" s="574"/>
      <c r="F2209" s="575"/>
    </row>
    <row r="2210" spans="1:6" ht="20.25">
      <c r="A2210" s="572"/>
      <c r="B2210" s="573"/>
      <c r="C2210" s="573"/>
      <c r="D2210" s="573"/>
      <c r="E2210" s="574"/>
      <c r="F2210" s="575"/>
    </row>
    <row r="2211" spans="1:6" ht="20.25">
      <c r="A2211" s="572"/>
      <c r="B2211" s="573"/>
      <c r="C2211" s="573"/>
      <c r="D2211" s="573"/>
      <c r="E2211" s="574"/>
      <c r="F2211" s="575"/>
    </row>
    <row r="2212" spans="1:6" ht="20.25">
      <c r="A2212" s="572"/>
      <c r="B2212" s="573"/>
      <c r="C2212" s="573"/>
      <c r="D2212" s="573"/>
      <c r="E2212" s="574"/>
      <c r="F2212" s="575"/>
    </row>
    <row r="2213" spans="1:6" ht="20.25">
      <c r="A2213" s="572"/>
      <c r="B2213" s="573"/>
      <c r="C2213" s="573"/>
      <c r="D2213" s="573"/>
      <c r="E2213" s="574"/>
      <c r="F2213" s="575"/>
    </row>
    <row r="2214" spans="1:6" ht="20.25">
      <c r="A2214" s="572"/>
      <c r="B2214" s="573"/>
      <c r="C2214" s="573"/>
      <c r="D2214" s="573"/>
      <c r="E2214" s="574"/>
      <c r="F2214" s="575"/>
    </row>
    <row r="2215" spans="1:6" ht="20.25">
      <c r="A2215" s="572"/>
      <c r="B2215" s="573"/>
      <c r="C2215" s="573"/>
      <c r="D2215" s="573"/>
      <c r="E2215" s="574"/>
      <c r="F2215" s="575"/>
    </row>
    <row r="2216" spans="1:6" ht="20.25">
      <c r="A2216" s="572"/>
      <c r="B2216" s="573"/>
      <c r="C2216" s="573"/>
      <c r="D2216" s="573"/>
      <c r="E2216" s="574"/>
      <c r="F2216" s="575"/>
    </row>
    <row r="2217" spans="1:6" ht="20.25">
      <c r="A2217" s="572"/>
      <c r="B2217" s="573"/>
      <c r="C2217" s="573"/>
      <c r="D2217" s="573"/>
      <c r="E2217" s="574"/>
      <c r="F2217" s="575"/>
    </row>
    <row r="2218" spans="1:6" ht="20.25">
      <c r="A2218" s="572"/>
      <c r="B2218" s="573"/>
      <c r="C2218" s="573"/>
      <c r="D2218" s="573"/>
      <c r="E2218" s="574"/>
      <c r="F2218" s="575"/>
    </row>
    <row r="2219" spans="1:6" ht="20.25">
      <c r="A2219" s="572"/>
      <c r="B2219" s="573"/>
      <c r="C2219" s="573"/>
      <c r="D2219" s="573"/>
      <c r="E2219" s="574"/>
      <c r="F2219" s="575"/>
    </row>
    <row r="2220" spans="1:6" ht="20.25">
      <c r="A2220" s="572"/>
      <c r="B2220" s="573"/>
      <c r="C2220" s="573"/>
      <c r="D2220" s="573"/>
      <c r="E2220" s="574"/>
      <c r="F2220" s="575"/>
    </row>
    <row r="2221" spans="1:6" ht="20.25">
      <c r="A2221" s="572"/>
      <c r="B2221" s="573"/>
      <c r="C2221" s="573"/>
      <c r="D2221" s="573"/>
      <c r="E2221" s="574"/>
      <c r="F2221" s="575"/>
    </row>
    <row r="2222" spans="1:6" ht="20.25">
      <c r="A2222" s="572"/>
      <c r="B2222" s="573"/>
      <c r="C2222" s="573"/>
      <c r="D2222" s="573"/>
      <c r="E2222" s="574"/>
      <c r="F2222" s="575"/>
    </row>
    <row r="2223" spans="1:6" ht="20.25">
      <c r="A2223" s="572"/>
      <c r="B2223" s="573"/>
      <c r="C2223" s="573"/>
      <c r="D2223" s="573"/>
      <c r="E2223" s="574"/>
      <c r="F2223" s="575"/>
    </row>
    <row r="2224" spans="1:6" ht="20.25">
      <c r="A2224" s="572"/>
      <c r="B2224" s="573"/>
      <c r="C2224" s="573"/>
      <c r="D2224" s="573"/>
      <c r="E2224" s="574"/>
      <c r="F2224" s="575"/>
    </row>
    <row r="2225" spans="1:6" ht="20.25">
      <c r="A2225" s="572"/>
      <c r="B2225" s="573"/>
      <c r="C2225" s="573"/>
      <c r="D2225" s="573"/>
      <c r="E2225" s="574"/>
      <c r="F2225" s="575"/>
    </row>
    <row r="2226" spans="1:6" ht="20.25">
      <c r="A2226" s="572"/>
      <c r="B2226" s="573"/>
      <c r="C2226" s="573"/>
      <c r="D2226" s="573"/>
      <c r="E2226" s="574"/>
      <c r="F2226" s="575"/>
    </row>
    <row r="2227" spans="1:6" ht="20.25">
      <c r="A2227" s="572"/>
      <c r="B2227" s="573"/>
      <c r="C2227" s="573"/>
      <c r="D2227" s="573"/>
      <c r="E2227" s="574"/>
      <c r="F2227" s="575"/>
    </row>
    <row r="2228" spans="1:6" ht="20.25">
      <c r="A2228" s="572"/>
      <c r="B2228" s="573"/>
      <c r="C2228" s="573"/>
      <c r="D2228" s="573"/>
      <c r="E2228" s="574"/>
      <c r="F2228" s="575"/>
    </row>
    <row r="2229" spans="1:6" ht="20.25">
      <c r="A2229" s="572"/>
      <c r="B2229" s="573"/>
      <c r="C2229" s="573"/>
      <c r="D2229" s="573"/>
      <c r="E2229" s="574"/>
      <c r="F2229" s="575"/>
    </row>
    <row r="2230" spans="1:6" ht="20.25">
      <c r="A2230" s="572"/>
      <c r="B2230" s="573"/>
      <c r="C2230" s="573"/>
      <c r="D2230" s="573"/>
      <c r="E2230" s="574"/>
      <c r="F2230" s="575"/>
    </row>
    <row r="2231" spans="1:6" ht="20.25">
      <c r="A2231" s="572"/>
      <c r="B2231" s="573"/>
      <c r="C2231" s="573"/>
      <c r="D2231" s="573"/>
      <c r="E2231" s="574"/>
      <c r="F2231" s="575"/>
    </row>
    <row r="2232" spans="1:6" ht="20.25">
      <c r="A2232" s="572"/>
      <c r="B2232" s="573"/>
      <c r="C2232" s="573"/>
      <c r="D2232" s="573"/>
      <c r="E2232" s="574"/>
      <c r="F2232" s="575"/>
    </row>
    <row r="2233" spans="1:6" ht="20.25">
      <c r="A2233" s="572"/>
      <c r="B2233" s="573"/>
      <c r="C2233" s="573"/>
      <c r="D2233" s="573"/>
      <c r="E2233" s="574"/>
      <c r="F2233" s="575"/>
    </row>
    <row r="2234" spans="1:6" ht="20.25">
      <c r="A2234" s="572"/>
      <c r="B2234" s="573"/>
      <c r="C2234" s="573"/>
      <c r="D2234" s="573"/>
      <c r="E2234" s="574"/>
      <c r="F2234" s="575"/>
    </row>
    <row r="2235" spans="1:6" ht="20.25">
      <c r="A2235" s="572"/>
      <c r="B2235" s="573"/>
      <c r="C2235" s="573"/>
      <c r="D2235" s="573"/>
      <c r="E2235" s="574"/>
      <c r="F2235" s="575"/>
    </row>
    <row r="2236" spans="1:6" ht="20.25">
      <c r="A2236" s="572"/>
      <c r="B2236" s="573"/>
      <c r="C2236" s="573"/>
      <c r="D2236" s="573"/>
      <c r="E2236" s="574"/>
      <c r="F2236" s="575"/>
    </row>
    <row r="2237" spans="1:6" ht="20.25">
      <c r="A2237" s="572"/>
      <c r="B2237" s="573"/>
      <c r="C2237" s="573"/>
      <c r="D2237" s="573"/>
      <c r="E2237" s="574"/>
      <c r="F2237" s="575"/>
    </row>
    <row r="2238" spans="1:6" ht="20.25">
      <c r="A2238" s="572"/>
      <c r="B2238" s="573"/>
      <c r="C2238" s="573"/>
      <c r="D2238" s="573"/>
      <c r="E2238" s="574"/>
      <c r="F2238" s="575"/>
    </row>
    <row r="2239" spans="1:6" ht="20.25">
      <c r="A2239" s="572"/>
      <c r="B2239" s="573"/>
      <c r="C2239" s="573"/>
      <c r="D2239" s="573"/>
      <c r="E2239" s="574"/>
      <c r="F2239" s="575"/>
    </row>
    <row r="2240" spans="1:6" ht="20.25">
      <c r="A2240" s="572"/>
      <c r="B2240" s="573"/>
      <c r="C2240" s="573"/>
      <c r="D2240" s="573"/>
      <c r="E2240" s="574"/>
      <c r="F2240" s="575"/>
    </row>
    <row r="2241" spans="1:6" ht="20.25">
      <c r="A2241" s="572"/>
      <c r="B2241" s="573"/>
      <c r="C2241" s="573"/>
      <c r="D2241" s="573"/>
      <c r="E2241" s="574"/>
      <c r="F2241" s="575"/>
    </row>
    <row r="2242" spans="1:6" ht="20.25">
      <c r="A2242" s="572"/>
      <c r="B2242" s="573"/>
      <c r="C2242" s="573"/>
      <c r="D2242" s="573"/>
      <c r="E2242" s="574"/>
      <c r="F2242" s="575"/>
    </row>
    <row r="2243" spans="1:6" ht="20.25">
      <c r="A2243" s="572"/>
      <c r="B2243" s="573"/>
      <c r="C2243" s="573"/>
      <c r="D2243" s="573"/>
      <c r="E2243" s="574"/>
      <c r="F2243" s="575"/>
    </row>
    <row r="2244" spans="1:6" ht="20.25">
      <c r="A2244" s="572"/>
      <c r="B2244" s="573"/>
      <c r="C2244" s="573"/>
      <c r="D2244" s="573"/>
      <c r="E2244" s="574"/>
      <c r="F2244" s="575"/>
    </row>
    <row r="2245" spans="1:6" ht="20.25">
      <c r="A2245" s="572"/>
      <c r="B2245" s="573"/>
      <c r="C2245" s="573"/>
      <c r="D2245" s="573"/>
      <c r="E2245" s="574"/>
      <c r="F2245" s="575"/>
    </row>
    <row r="2246" spans="1:6" ht="20.25">
      <c r="A2246" s="572"/>
      <c r="B2246" s="573"/>
      <c r="C2246" s="573"/>
      <c r="D2246" s="573"/>
      <c r="E2246" s="574"/>
      <c r="F2246" s="575"/>
    </row>
    <row r="2247" spans="1:6" ht="20.25">
      <c r="A2247" s="572"/>
      <c r="B2247" s="573"/>
      <c r="C2247" s="573"/>
      <c r="D2247" s="573"/>
      <c r="E2247" s="574"/>
      <c r="F2247" s="575"/>
    </row>
    <row r="2248" spans="1:6" ht="20.25">
      <c r="A2248" s="572"/>
      <c r="B2248" s="573"/>
      <c r="C2248" s="573"/>
      <c r="D2248" s="573"/>
      <c r="E2248" s="574"/>
      <c r="F2248" s="575"/>
    </row>
    <row r="2249" spans="1:6" ht="20.25">
      <c r="A2249" s="572"/>
      <c r="B2249" s="573"/>
      <c r="C2249" s="573"/>
      <c r="D2249" s="573"/>
      <c r="E2249" s="574"/>
      <c r="F2249" s="575"/>
    </row>
    <row r="2250" spans="1:6" ht="20.25">
      <c r="A2250" s="572"/>
      <c r="B2250" s="573"/>
      <c r="C2250" s="573"/>
      <c r="D2250" s="573"/>
      <c r="E2250" s="574"/>
      <c r="F2250" s="575"/>
    </row>
    <row r="2251" spans="1:6" ht="20.25">
      <c r="A2251" s="572"/>
      <c r="B2251" s="573"/>
      <c r="C2251" s="573"/>
      <c r="D2251" s="573"/>
      <c r="E2251" s="574"/>
      <c r="F2251" s="575"/>
    </row>
    <row r="2252" spans="1:6" ht="20.25">
      <c r="A2252" s="572"/>
      <c r="B2252" s="573"/>
      <c r="C2252" s="573"/>
      <c r="D2252" s="573"/>
      <c r="E2252" s="574"/>
      <c r="F2252" s="575"/>
    </row>
    <row r="2253" spans="1:6" ht="20.25">
      <c r="A2253" s="572"/>
      <c r="B2253" s="573"/>
      <c r="C2253" s="573"/>
      <c r="D2253" s="573"/>
      <c r="E2253" s="574"/>
      <c r="F2253" s="575"/>
    </row>
    <row r="2254" spans="1:6" ht="20.25">
      <c r="A2254" s="572"/>
      <c r="B2254" s="573"/>
      <c r="C2254" s="573"/>
      <c r="D2254" s="573"/>
      <c r="E2254" s="574"/>
      <c r="F2254" s="575"/>
    </row>
    <row r="2255" spans="1:6" ht="20.25">
      <c r="A2255" s="572"/>
      <c r="B2255" s="573"/>
      <c r="C2255" s="573"/>
      <c r="D2255" s="573"/>
      <c r="E2255" s="574"/>
      <c r="F2255" s="575"/>
    </row>
    <row r="2256" spans="1:6" ht="20.25">
      <c r="A2256" s="572"/>
      <c r="B2256" s="573"/>
      <c r="C2256" s="573"/>
      <c r="D2256" s="573"/>
      <c r="E2256" s="574"/>
      <c r="F2256" s="575"/>
    </row>
    <row r="2257" spans="1:6" ht="20.25">
      <c r="A2257" s="572"/>
      <c r="B2257" s="573"/>
      <c r="C2257" s="573"/>
      <c r="D2257" s="573"/>
      <c r="E2257" s="574"/>
      <c r="F2257" s="575"/>
    </row>
    <row r="2258" spans="1:6" ht="20.25">
      <c r="A2258" s="572"/>
      <c r="B2258" s="573"/>
      <c r="C2258" s="573"/>
      <c r="D2258" s="573"/>
      <c r="E2258" s="574"/>
      <c r="F2258" s="575"/>
    </row>
    <row r="2259" spans="1:6" ht="20.25">
      <c r="A2259" s="572"/>
      <c r="B2259" s="573"/>
      <c r="C2259" s="573"/>
      <c r="D2259" s="573"/>
      <c r="E2259" s="574"/>
      <c r="F2259" s="575"/>
    </row>
    <row r="2260" spans="1:6" ht="20.25">
      <c r="A2260" s="572"/>
      <c r="B2260" s="573"/>
      <c r="C2260" s="573"/>
      <c r="D2260" s="573"/>
      <c r="E2260" s="574"/>
      <c r="F2260" s="575"/>
    </row>
    <row r="2261" spans="1:6" ht="20.25">
      <c r="A2261" s="572"/>
      <c r="B2261" s="573"/>
      <c r="C2261" s="573"/>
      <c r="D2261" s="573"/>
      <c r="E2261" s="574"/>
      <c r="F2261" s="575"/>
    </row>
    <row r="2262" spans="1:6" ht="20.25">
      <c r="A2262" s="572"/>
      <c r="B2262" s="573"/>
      <c r="C2262" s="573"/>
      <c r="D2262" s="573"/>
      <c r="E2262" s="574"/>
      <c r="F2262" s="575"/>
    </row>
    <row r="2263" spans="1:6" ht="20.25">
      <c r="A2263" s="572"/>
      <c r="B2263" s="573"/>
      <c r="C2263" s="573"/>
      <c r="D2263" s="573"/>
      <c r="E2263" s="574"/>
      <c r="F2263" s="575"/>
    </row>
    <row r="2264" spans="1:6" ht="20.25">
      <c r="A2264" s="572"/>
      <c r="B2264" s="573"/>
      <c r="C2264" s="573"/>
      <c r="D2264" s="573"/>
      <c r="E2264" s="574"/>
      <c r="F2264" s="575"/>
    </row>
    <row r="2265" spans="1:6" ht="20.25">
      <c r="A2265" s="572"/>
      <c r="B2265" s="573"/>
      <c r="C2265" s="573"/>
      <c r="D2265" s="573"/>
      <c r="E2265" s="574"/>
      <c r="F2265" s="575"/>
    </row>
    <row r="2266" spans="1:6" ht="20.25">
      <c r="A2266" s="572"/>
      <c r="B2266" s="573"/>
      <c r="C2266" s="573"/>
      <c r="D2266" s="573"/>
      <c r="E2266" s="574"/>
      <c r="F2266" s="575"/>
    </row>
    <row r="2267" spans="1:6" ht="20.25">
      <c r="A2267" s="572"/>
      <c r="B2267" s="573"/>
      <c r="C2267" s="573"/>
      <c r="D2267" s="573"/>
      <c r="E2267" s="574"/>
      <c r="F2267" s="575"/>
    </row>
    <row r="2268" spans="1:6" ht="20.25">
      <c r="A2268" s="572"/>
      <c r="B2268" s="573"/>
      <c r="C2268" s="573"/>
      <c r="D2268" s="573"/>
      <c r="E2268" s="574"/>
      <c r="F2268" s="575"/>
    </row>
    <row r="2269" spans="1:6" ht="20.25">
      <c r="A2269" s="572"/>
      <c r="B2269" s="573"/>
      <c r="C2269" s="573"/>
      <c r="D2269" s="573"/>
      <c r="E2269" s="574"/>
      <c r="F2269" s="575"/>
    </row>
    <row r="2270" spans="1:6" ht="20.25">
      <c r="A2270" s="572"/>
      <c r="B2270" s="573"/>
      <c r="C2270" s="573"/>
      <c r="D2270" s="573"/>
      <c r="E2270" s="574"/>
      <c r="F2270" s="575"/>
    </row>
    <row r="2271" spans="1:6" ht="20.25">
      <c r="A2271" s="572"/>
      <c r="B2271" s="573"/>
      <c r="C2271" s="573"/>
      <c r="D2271" s="573"/>
      <c r="E2271" s="574"/>
      <c r="F2271" s="575"/>
    </row>
    <row r="2272" spans="1:6" ht="20.25">
      <c r="A2272" s="572"/>
      <c r="B2272" s="573"/>
      <c r="C2272" s="573"/>
      <c r="D2272" s="573"/>
      <c r="E2272" s="574"/>
      <c r="F2272" s="575"/>
    </row>
    <row r="2273" spans="1:6" ht="20.25">
      <c r="A2273" s="572"/>
      <c r="B2273" s="573"/>
      <c r="C2273" s="573"/>
      <c r="D2273" s="573"/>
      <c r="E2273" s="574"/>
      <c r="F2273" s="575"/>
    </row>
    <row r="2274" spans="1:6" ht="20.25">
      <c r="A2274" s="572"/>
      <c r="B2274" s="573"/>
      <c r="C2274" s="573"/>
      <c r="D2274" s="573"/>
      <c r="E2274" s="574"/>
      <c r="F2274" s="575"/>
    </row>
    <row r="2275" spans="1:6" ht="20.25">
      <c r="A2275" s="572"/>
      <c r="B2275" s="573"/>
      <c r="C2275" s="573"/>
      <c r="D2275" s="573"/>
      <c r="E2275" s="574"/>
      <c r="F2275" s="575"/>
    </row>
    <row r="2276" spans="1:6" ht="20.25">
      <c r="A2276" s="572"/>
      <c r="B2276" s="573"/>
      <c r="C2276" s="573"/>
      <c r="D2276" s="573"/>
      <c r="E2276" s="574"/>
      <c r="F2276" s="575"/>
    </row>
    <row r="2277" spans="1:6" ht="20.25">
      <c r="A2277" s="572"/>
      <c r="B2277" s="573"/>
      <c r="C2277" s="573"/>
      <c r="D2277" s="573"/>
      <c r="E2277" s="574"/>
      <c r="F2277" s="575"/>
    </row>
    <row r="2278" spans="1:6" ht="20.25">
      <c r="A2278" s="572"/>
      <c r="B2278" s="573"/>
      <c r="C2278" s="573"/>
      <c r="D2278" s="573"/>
      <c r="E2278" s="574"/>
      <c r="F2278" s="575"/>
    </row>
    <row r="2279" spans="1:6" ht="20.25">
      <c r="A2279" s="572"/>
      <c r="B2279" s="573"/>
      <c r="C2279" s="573"/>
      <c r="D2279" s="573"/>
      <c r="E2279" s="574"/>
      <c r="F2279" s="575"/>
    </row>
    <row r="2280" spans="1:6" ht="20.25">
      <c r="A2280" s="572"/>
      <c r="B2280" s="573"/>
      <c r="C2280" s="573"/>
      <c r="D2280" s="573"/>
      <c r="E2280" s="574"/>
      <c r="F2280" s="575"/>
    </row>
    <row r="2281" spans="1:6" ht="20.25">
      <c r="A2281" s="572"/>
      <c r="B2281" s="573"/>
      <c r="C2281" s="573"/>
      <c r="D2281" s="573"/>
      <c r="E2281" s="574"/>
      <c r="F2281" s="575"/>
    </row>
    <row r="2282" spans="1:6" ht="20.25">
      <c r="A2282" s="572"/>
      <c r="B2282" s="573"/>
      <c r="C2282" s="573"/>
      <c r="D2282" s="573"/>
      <c r="E2282" s="574"/>
      <c r="F2282" s="575"/>
    </row>
    <row r="2283" spans="1:6" ht="20.25">
      <c r="A2283" s="572"/>
      <c r="B2283" s="573"/>
      <c r="C2283" s="573"/>
      <c r="D2283" s="573"/>
      <c r="E2283" s="574"/>
      <c r="F2283" s="575"/>
    </row>
    <row r="2284" spans="1:6" ht="20.25">
      <c r="A2284" s="572"/>
      <c r="B2284" s="573"/>
      <c r="C2284" s="573"/>
      <c r="D2284" s="573"/>
      <c r="E2284" s="574"/>
      <c r="F2284" s="575"/>
    </row>
    <row r="2285" spans="1:6" ht="20.25">
      <c r="A2285" s="572"/>
      <c r="B2285" s="573"/>
      <c r="C2285" s="573"/>
      <c r="D2285" s="573"/>
      <c r="E2285" s="574"/>
      <c r="F2285" s="575"/>
    </row>
    <row r="2286" spans="1:6" ht="20.25">
      <c r="A2286" s="572"/>
      <c r="B2286" s="573"/>
      <c r="C2286" s="573"/>
      <c r="D2286" s="573"/>
      <c r="E2286" s="574"/>
      <c r="F2286" s="575"/>
    </row>
    <row r="2287" spans="1:6" ht="20.25">
      <c r="A2287" s="572"/>
      <c r="B2287" s="573"/>
      <c r="C2287" s="573"/>
      <c r="D2287" s="573"/>
      <c r="E2287" s="574"/>
      <c r="F2287" s="575"/>
    </row>
    <row r="2288" spans="1:6" ht="20.25">
      <c r="A2288" s="572"/>
      <c r="B2288" s="573"/>
      <c r="C2288" s="573"/>
      <c r="D2288" s="573"/>
      <c r="E2288" s="574"/>
      <c r="F2288" s="575"/>
    </row>
    <row r="2289" spans="1:6" ht="20.25">
      <c r="A2289" s="572"/>
      <c r="B2289" s="573"/>
      <c r="C2289" s="573"/>
      <c r="D2289" s="573"/>
      <c r="E2289" s="574"/>
      <c r="F2289" s="575"/>
    </row>
    <row r="2290" spans="1:6" ht="20.25">
      <c r="A2290" s="572"/>
      <c r="B2290" s="573"/>
      <c r="C2290" s="573"/>
      <c r="D2290" s="573"/>
      <c r="E2290" s="574"/>
      <c r="F2290" s="575"/>
    </row>
    <row r="2291" spans="1:6" ht="20.25">
      <c r="A2291" s="572"/>
      <c r="B2291" s="573"/>
      <c r="C2291" s="573"/>
      <c r="D2291" s="573"/>
      <c r="E2291" s="574"/>
      <c r="F2291" s="575"/>
    </row>
    <row r="2292" spans="1:6" ht="20.25">
      <c r="A2292" s="572"/>
      <c r="B2292" s="573"/>
      <c r="C2292" s="573"/>
      <c r="D2292" s="573"/>
      <c r="E2292" s="574"/>
      <c r="F2292" s="575"/>
    </row>
    <row r="2293" spans="1:6" ht="20.25">
      <c r="A2293" s="572"/>
      <c r="B2293" s="573"/>
      <c r="C2293" s="573"/>
      <c r="D2293" s="573"/>
      <c r="E2293" s="574"/>
      <c r="F2293" s="575"/>
    </row>
    <row r="2294" spans="1:6" ht="20.25">
      <c r="A2294" s="572"/>
      <c r="B2294" s="573"/>
      <c r="C2294" s="573"/>
      <c r="D2294" s="573"/>
      <c r="E2294" s="574"/>
      <c r="F2294" s="575"/>
    </row>
    <row r="2295" spans="1:6" ht="20.25">
      <c r="A2295" s="572"/>
      <c r="B2295" s="573"/>
      <c r="C2295" s="573"/>
      <c r="D2295" s="573"/>
      <c r="E2295" s="574"/>
      <c r="F2295" s="575"/>
    </row>
    <row r="2296" spans="1:6" ht="20.25">
      <c r="A2296" s="572"/>
      <c r="B2296" s="573"/>
      <c r="C2296" s="573"/>
      <c r="D2296" s="573"/>
      <c r="E2296" s="574"/>
      <c r="F2296" s="575"/>
    </row>
    <row r="2297" spans="1:6" ht="20.25">
      <c r="A2297" s="572"/>
      <c r="B2297" s="573"/>
      <c r="C2297" s="573"/>
      <c r="D2297" s="573"/>
      <c r="E2297" s="574"/>
      <c r="F2297" s="575"/>
    </row>
    <row r="2298" spans="1:6" ht="20.25">
      <c r="A2298" s="572"/>
      <c r="B2298" s="573"/>
      <c r="C2298" s="573"/>
      <c r="D2298" s="573"/>
      <c r="E2298" s="574"/>
      <c r="F2298" s="575"/>
    </row>
    <row r="2299" spans="1:6" ht="20.25">
      <c r="A2299" s="572"/>
      <c r="B2299" s="573"/>
      <c r="C2299" s="573"/>
      <c r="D2299" s="573"/>
      <c r="E2299" s="574"/>
      <c r="F2299" s="575"/>
    </row>
    <row r="2300" spans="1:6" ht="20.25">
      <c r="A2300" s="572"/>
      <c r="B2300" s="573"/>
      <c r="C2300" s="573"/>
      <c r="D2300" s="573"/>
      <c r="E2300" s="574"/>
      <c r="F2300" s="575"/>
    </row>
    <row r="2301" spans="1:6" ht="20.25">
      <c r="A2301" s="572"/>
      <c r="B2301" s="573"/>
      <c r="C2301" s="573"/>
      <c r="D2301" s="573"/>
      <c r="E2301" s="574"/>
      <c r="F2301" s="575"/>
    </row>
    <row r="2302" spans="1:6" ht="20.25">
      <c r="A2302" s="572"/>
      <c r="B2302" s="573"/>
      <c r="C2302" s="573"/>
      <c r="D2302" s="573"/>
      <c r="E2302" s="574"/>
      <c r="F2302" s="575"/>
    </row>
    <row r="2303" spans="1:6" ht="20.25">
      <c r="A2303" s="572"/>
      <c r="B2303" s="573"/>
      <c r="C2303" s="573"/>
      <c r="D2303" s="573"/>
      <c r="E2303" s="574"/>
      <c r="F2303" s="575"/>
    </row>
    <row r="2304" spans="1:6" ht="20.25">
      <c r="A2304" s="572"/>
      <c r="B2304" s="573"/>
      <c r="C2304" s="573"/>
      <c r="D2304" s="573"/>
      <c r="E2304" s="574"/>
      <c r="F2304" s="575"/>
    </row>
    <row r="2305" spans="1:6" ht="20.25">
      <c r="A2305" s="572"/>
      <c r="B2305" s="573"/>
      <c r="C2305" s="573"/>
      <c r="D2305" s="573"/>
      <c r="E2305" s="574"/>
      <c r="F2305" s="575"/>
    </row>
    <row r="2306" spans="1:6" ht="20.25">
      <c r="A2306" s="572"/>
      <c r="B2306" s="573"/>
      <c r="C2306" s="573"/>
      <c r="D2306" s="573"/>
      <c r="E2306" s="574"/>
      <c r="F2306" s="575"/>
    </row>
    <row r="2307" spans="1:6" ht="20.25">
      <c r="A2307" s="572"/>
      <c r="B2307" s="573"/>
      <c r="C2307" s="573"/>
      <c r="D2307" s="573"/>
      <c r="E2307" s="574"/>
      <c r="F2307" s="575"/>
    </row>
    <row r="2308" spans="1:6" ht="20.25">
      <c r="A2308" s="572"/>
      <c r="B2308" s="573"/>
      <c r="C2308" s="573"/>
      <c r="D2308" s="573"/>
      <c r="E2308" s="574"/>
      <c r="F2308" s="575"/>
    </row>
    <row r="2309" spans="1:6" ht="20.25">
      <c r="A2309" s="572"/>
      <c r="B2309" s="573"/>
      <c r="C2309" s="573"/>
      <c r="D2309" s="573"/>
      <c r="E2309" s="574"/>
      <c r="F2309" s="575"/>
    </row>
    <row r="2310" spans="1:6" ht="20.25">
      <c r="A2310" s="572"/>
      <c r="B2310" s="573"/>
      <c r="C2310" s="573"/>
      <c r="D2310" s="573"/>
      <c r="E2310" s="574"/>
      <c r="F2310" s="575"/>
    </row>
    <row r="2311" spans="1:6" ht="20.25">
      <c r="A2311" s="572"/>
      <c r="B2311" s="573"/>
      <c r="C2311" s="573"/>
      <c r="D2311" s="573"/>
      <c r="E2311" s="574"/>
      <c r="F2311" s="575"/>
    </row>
    <row r="2312" spans="1:6" ht="20.25">
      <c r="A2312" s="572"/>
      <c r="B2312" s="573"/>
      <c r="C2312" s="573"/>
      <c r="D2312" s="573"/>
      <c r="E2312" s="574"/>
      <c r="F2312" s="575"/>
    </row>
    <row r="2313" spans="1:6" ht="20.25">
      <c r="A2313" s="572"/>
      <c r="B2313" s="573"/>
      <c r="C2313" s="573"/>
      <c r="D2313" s="573"/>
      <c r="E2313" s="574"/>
      <c r="F2313" s="575"/>
    </row>
    <row r="2314" spans="1:6" ht="20.25">
      <c r="A2314" s="572"/>
      <c r="B2314" s="573"/>
      <c r="C2314" s="573"/>
      <c r="D2314" s="573"/>
      <c r="E2314" s="574"/>
      <c r="F2314" s="575"/>
    </row>
    <row r="2315" spans="1:6" ht="20.25">
      <c r="A2315" s="572"/>
      <c r="B2315" s="573"/>
      <c r="C2315" s="573"/>
      <c r="D2315" s="573"/>
      <c r="E2315" s="574"/>
      <c r="F2315" s="575"/>
    </row>
    <row r="2316" spans="1:6" ht="20.25">
      <c r="A2316" s="572"/>
      <c r="B2316" s="573"/>
      <c r="C2316" s="573"/>
      <c r="D2316" s="573"/>
      <c r="E2316" s="574"/>
      <c r="F2316" s="575"/>
    </row>
    <row r="2317" spans="1:6" ht="20.25">
      <c r="A2317" s="572"/>
      <c r="B2317" s="573"/>
      <c r="C2317" s="573"/>
      <c r="D2317" s="573"/>
      <c r="E2317" s="574"/>
      <c r="F2317" s="575"/>
    </row>
    <row r="2318" spans="1:6" ht="20.25">
      <c r="A2318" s="572"/>
      <c r="B2318" s="573"/>
      <c r="C2318" s="573"/>
      <c r="D2318" s="573"/>
      <c r="E2318" s="574"/>
      <c r="F2318" s="575"/>
    </row>
    <row r="2319" spans="1:6" ht="20.25">
      <c r="A2319" s="572"/>
      <c r="B2319" s="573"/>
      <c r="C2319" s="573"/>
      <c r="D2319" s="573"/>
      <c r="E2319" s="574"/>
      <c r="F2319" s="575"/>
    </row>
    <row r="2320" spans="1:6" ht="20.25">
      <c r="A2320" s="572"/>
      <c r="B2320" s="573"/>
      <c r="C2320" s="573"/>
      <c r="D2320" s="573"/>
      <c r="E2320" s="574"/>
      <c r="F2320" s="575"/>
    </row>
    <row r="2321" spans="1:6" ht="20.25">
      <c r="A2321" s="572"/>
      <c r="B2321" s="573"/>
      <c r="C2321" s="573"/>
      <c r="D2321" s="573"/>
      <c r="E2321" s="574"/>
      <c r="F2321" s="575"/>
    </row>
    <row r="2322" spans="1:6" ht="20.25">
      <c r="A2322" s="572"/>
      <c r="B2322" s="573"/>
      <c r="C2322" s="573"/>
      <c r="D2322" s="573"/>
      <c r="E2322" s="574"/>
      <c r="F2322" s="575"/>
    </row>
    <row r="2323" spans="1:6" ht="20.25">
      <c r="A2323" s="572"/>
      <c r="B2323" s="573"/>
      <c r="C2323" s="573"/>
      <c r="D2323" s="573"/>
      <c r="E2323" s="574"/>
      <c r="F2323" s="575"/>
    </row>
    <row r="2324" spans="1:6" ht="20.25">
      <c r="A2324" s="572"/>
      <c r="B2324" s="573"/>
      <c r="C2324" s="573"/>
      <c r="D2324" s="573"/>
      <c r="E2324" s="574"/>
      <c r="F2324" s="575"/>
    </row>
    <row r="2325" spans="1:6" ht="20.25">
      <c r="A2325" s="572"/>
      <c r="B2325" s="573"/>
      <c r="C2325" s="573"/>
      <c r="D2325" s="573"/>
      <c r="E2325" s="574"/>
      <c r="F2325" s="575"/>
    </row>
    <row r="2326" spans="1:6" ht="20.25">
      <c r="A2326" s="572"/>
      <c r="B2326" s="573"/>
      <c r="C2326" s="573"/>
      <c r="D2326" s="573"/>
      <c r="E2326" s="574"/>
      <c r="F2326" s="575"/>
    </row>
    <row r="2327" spans="1:6" ht="20.25">
      <c r="A2327" s="572"/>
      <c r="B2327" s="573"/>
      <c r="C2327" s="573"/>
      <c r="D2327" s="573"/>
      <c r="E2327" s="574"/>
      <c r="F2327" s="575"/>
    </row>
    <row r="2328" spans="1:6" ht="20.25">
      <c r="A2328" s="572"/>
      <c r="B2328" s="573"/>
      <c r="C2328" s="573"/>
      <c r="D2328" s="573"/>
      <c r="E2328" s="574"/>
      <c r="F2328" s="575"/>
    </row>
    <row r="2329" spans="1:6" ht="20.25">
      <c r="A2329" s="572"/>
      <c r="B2329" s="573"/>
      <c r="C2329" s="573"/>
      <c r="D2329" s="573"/>
      <c r="E2329" s="574"/>
      <c r="F2329" s="575"/>
    </row>
    <row r="2330" spans="1:6" ht="20.25">
      <c r="A2330" s="572"/>
      <c r="B2330" s="573"/>
      <c r="C2330" s="573"/>
      <c r="D2330" s="573"/>
      <c r="E2330" s="574"/>
      <c r="F2330" s="575"/>
    </row>
    <row r="2331" spans="1:6" ht="20.25">
      <c r="A2331" s="572"/>
      <c r="B2331" s="573"/>
      <c r="C2331" s="573"/>
      <c r="D2331" s="573"/>
      <c r="E2331" s="574"/>
      <c r="F2331" s="575"/>
    </row>
    <row r="2332" spans="1:6" ht="20.25">
      <c r="A2332" s="572"/>
      <c r="B2332" s="573"/>
      <c r="C2332" s="573"/>
      <c r="D2332" s="573"/>
      <c r="E2332" s="574"/>
      <c r="F2332" s="575"/>
    </row>
    <row r="2333" spans="1:6" ht="20.25">
      <c r="A2333" s="572"/>
      <c r="B2333" s="573"/>
      <c r="C2333" s="573"/>
      <c r="D2333" s="573"/>
      <c r="E2333" s="574"/>
      <c r="F2333" s="575"/>
    </row>
    <row r="2334" spans="1:6" ht="20.25">
      <c r="A2334" s="572"/>
      <c r="B2334" s="573"/>
      <c r="C2334" s="573"/>
      <c r="D2334" s="573"/>
      <c r="E2334" s="574"/>
      <c r="F2334" s="575"/>
    </row>
    <row r="2335" spans="1:6" ht="20.25">
      <c r="A2335" s="572"/>
      <c r="B2335" s="573"/>
      <c r="C2335" s="573"/>
      <c r="D2335" s="573"/>
      <c r="E2335" s="574"/>
      <c r="F2335" s="575"/>
    </row>
    <row r="2336" spans="1:6" ht="20.25">
      <c r="A2336" s="572"/>
      <c r="B2336" s="573"/>
      <c r="C2336" s="573"/>
      <c r="D2336" s="573"/>
      <c r="E2336" s="574"/>
      <c r="F2336" s="575"/>
    </row>
    <row r="2337" spans="1:6" ht="20.25">
      <c r="A2337" s="572"/>
      <c r="B2337" s="573"/>
      <c r="C2337" s="573"/>
      <c r="D2337" s="573"/>
      <c r="E2337" s="574"/>
      <c r="F2337" s="575"/>
    </row>
    <row r="2338" spans="1:6" ht="20.25">
      <c r="A2338" s="572"/>
      <c r="B2338" s="573"/>
      <c r="C2338" s="573"/>
      <c r="D2338" s="573"/>
      <c r="E2338" s="574"/>
      <c r="F2338" s="575"/>
    </row>
    <row r="2339" spans="1:6" ht="20.25">
      <c r="A2339" s="572"/>
      <c r="B2339" s="573"/>
      <c r="C2339" s="573"/>
      <c r="D2339" s="573"/>
      <c r="E2339" s="574"/>
      <c r="F2339" s="575"/>
    </row>
    <row r="2340" spans="1:6" ht="20.25">
      <c r="A2340" s="572"/>
      <c r="B2340" s="573"/>
      <c r="C2340" s="573"/>
      <c r="D2340" s="573"/>
      <c r="E2340" s="574"/>
      <c r="F2340" s="575"/>
    </row>
    <row r="2341" spans="1:6" ht="20.25">
      <c r="A2341" s="572"/>
      <c r="B2341" s="573"/>
      <c r="C2341" s="573"/>
      <c r="D2341" s="573"/>
      <c r="E2341" s="574"/>
      <c r="F2341" s="575"/>
    </row>
    <row r="2342" spans="1:6" ht="20.25">
      <c r="A2342" s="572"/>
      <c r="B2342" s="573"/>
      <c r="C2342" s="573"/>
      <c r="D2342" s="573"/>
      <c r="E2342" s="574"/>
      <c r="F2342" s="575"/>
    </row>
    <row r="2343" spans="1:6" ht="20.25">
      <c r="A2343" s="572"/>
      <c r="B2343" s="573"/>
      <c r="C2343" s="573"/>
      <c r="D2343" s="573"/>
      <c r="E2343" s="574"/>
      <c r="F2343" s="575"/>
    </row>
    <row r="2344" spans="1:6" ht="20.25">
      <c r="A2344" s="572"/>
      <c r="B2344" s="573"/>
      <c r="C2344" s="573"/>
      <c r="D2344" s="573"/>
      <c r="E2344" s="574"/>
      <c r="F2344" s="575"/>
    </row>
    <row r="2345" spans="1:6" ht="20.25">
      <c r="A2345" s="572"/>
      <c r="B2345" s="573"/>
      <c r="C2345" s="573"/>
      <c r="D2345" s="573"/>
      <c r="E2345" s="574"/>
      <c r="F2345" s="575"/>
    </row>
    <row r="2346" spans="1:6" ht="20.25">
      <c r="A2346" s="572"/>
      <c r="B2346" s="573"/>
      <c r="C2346" s="573"/>
      <c r="D2346" s="573"/>
      <c r="E2346" s="574"/>
      <c r="F2346" s="575"/>
    </row>
    <row r="2347" spans="1:6" ht="20.25">
      <c r="A2347" s="572"/>
      <c r="B2347" s="573"/>
      <c r="C2347" s="573"/>
      <c r="D2347" s="573"/>
      <c r="E2347" s="574"/>
      <c r="F2347" s="575"/>
    </row>
    <row r="2348" spans="1:6" ht="20.25">
      <c r="A2348" s="572"/>
      <c r="B2348" s="573"/>
      <c r="C2348" s="573"/>
      <c r="D2348" s="573"/>
      <c r="E2348" s="574"/>
      <c r="F2348" s="575"/>
    </row>
    <row r="2349" spans="1:6" ht="20.25">
      <c r="A2349" s="572"/>
      <c r="B2349" s="573"/>
      <c r="C2349" s="573"/>
      <c r="D2349" s="573"/>
      <c r="E2349" s="574"/>
      <c r="F2349" s="575"/>
    </row>
    <row r="2350" spans="1:6" ht="20.25">
      <c r="A2350" s="572"/>
      <c r="B2350" s="573"/>
      <c r="C2350" s="573"/>
      <c r="D2350" s="573"/>
      <c r="E2350" s="574"/>
      <c r="F2350" s="575"/>
    </row>
    <row r="2351" spans="1:6" ht="20.25">
      <c r="A2351" s="572"/>
      <c r="B2351" s="573"/>
      <c r="C2351" s="573"/>
      <c r="D2351" s="573"/>
      <c r="E2351" s="574"/>
      <c r="F2351" s="575"/>
    </row>
    <row r="2352" spans="1:6" ht="20.25">
      <c r="A2352" s="572"/>
      <c r="B2352" s="573"/>
      <c r="C2352" s="573"/>
      <c r="D2352" s="573"/>
      <c r="E2352" s="574"/>
      <c r="F2352" s="575"/>
    </row>
    <row r="2353" spans="1:6" ht="20.25">
      <c r="A2353" s="572"/>
      <c r="B2353" s="573"/>
      <c r="C2353" s="573"/>
      <c r="D2353" s="573"/>
      <c r="E2353" s="574"/>
      <c r="F2353" s="575"/>
    </row>
    <row r="2354" spans="1:6" ht="20.25">
      <c r="A2354" s="572"/>
      <c r="B2354" s="573"/>
      <c r="C2354" s="573"/>
      <c r="D2354" s="573"/>
      <c r="E2354" s="574"/>
      <c r="F2354" s="575"/>
    </row>
    <row r="2355" spans="1:6" ht="20.25">
      <c r="A2355" s="572"/>
      <c r="B2355" s="573"/>
      <c r="C2355" s="573"/>
      <c r="D2355" s="573"/>
      <c r="E2355" s="574"/>
      <c r="F2355" s="575"/>
    </row>
    <row r="2356" spans="1:6" ht="20.25">
      <c r="A2356" s="572"/>
      <c r="B2356" s="573"/>
      <c r="C2356" s="573"/>
      <c r="D2356" s="573"/>
      <c r="E2356" s="574"/>
      <c r="F2356" s="575"/>
    </row>
    <row r="2357" spans="1:6" ht="20.25">
      <c r="A2357" s="572"/>
      <c r="B2357" s="573"/>
      <c r="C2357" s="573"/>
      <c r="D2357" s="573"/>
      <c r="E2357" s="574"/>
      <c r="F2357" s="575"/>
    </row>
    <row r="2358" spans="1:6" ht="20.25">
      <c r="A2358" s="572"/>
      <c r="B2358" s="573"/>
      <c r="C2358" s="573"/>
      <c r="D2358" s="573"/>
      <c r="E2358" s="574"/>
      <c r="F2358" s="575"/>
    </row>
    <row r="2359" spans="1:6" ht="20.25">
      <c r="A2359" s="572"/>
      <c r="B2359" s="573"/>
      <c r="C2359" s="573"/>
      <c r="D2359" s="573"/>
      <c r="E2359" s="574"/>
      <c r="F2359" s="575"/>
    </row>
    <row r="2360" spans="1:6" ht="20.25">
      <c r="A2360" s="572"/>
      <c r="B2360" s="573"/>
      <c r="C2360" s="573"/>
      <c r="D2360" s="573"/>
      <c r="E2360" s="574"/>
      <c r="F2360" s="575"/>
    </row>
    <row r="2361" spans="1:6" ht="20.25">
      <c r="A2361" s="572"/>
      <c r="B2361" s="573"/>
      <c r="C2361" s="573"/>
      <c r="D2361" s="573"/>
      <c r="E2361" s="574"/>
      <c r="F2361" s="575"/>
    </row>
    <row r="2362" spans="1:6" ht="20.25">
      <c r="A2362" s="572"/>
      <c r="B2362" s="573"/>
      <c r="C2362" s="573"/>
      <c r="D2362" s="573"/>
      <c r="E2362" s="574"/>
      <c r="F2362" s="575"/>
    </row>
    <row r="2363" spans="1:6" ht="20.25">
      <c r="A2363" s="572"/>
      <c r="B2363" s="573"/>
      <c r="C2363" s="573"/>
      <c r="D2363" s="573"/>
      <c r="E2363" s="574"/>
      <c r="F2363" s="575"/>
    </row>
    <row r="2364" spans="1:6" ht="20.25">
      <c r="A2364" s="572"/>
      <c r="B2364" s="573"/>
      <c r="C2364" s="573"/>
      <c r="D2364" s="573"/>
      <c r="E2364" s="574"/>
      <c r="F2364" s="575"/>
    </row>
    <row r="2365" spans="1:6" ht="20.25">
      <c r="A2365" s="572"/>
      <c r="B2365" s="573"/>
      <c r="C2365" s="573"/>
      <c r="D2365" s="573"/>
      <c r="E2365" s="574"/>
      <c r="F2365" s="575"/>
    </row>
    <row r="2366" spans="1:6" ht="20.25">
      <c r="A2366" s="572"/>
      <c r="B2366" s="573"/>
      <c r="C2366" s="573"/>
      <c r="D2366" s="573"/>
      <c r="E2366" s="574"/>
      <c r="F2366" s="575"/>
    </row>
    <row r="2367" spans="1:6" ht="20.25">
      <c r="A2367" s="572"/>
      <c r="B2367" s="573"/>
      <c r="C2367" s="573"/>
      <c r="D2367" s="573"/>
      <c r="E2367" s="574"/>
      <c r="F2367" s="575"/>
    </row>
    <row r="2368" spans="1:6" ht="20.25">
      <c r="A2368" s="572"/>
      <c r="B2368" s="573"/>
      <c r="C2368" s="573"/>
      <c r="D2368" s="573"/>
      <c r="E2368" s="574"/>
      <c r="F2368" s="575"/>
    </row>
    <row r="2369" spans="1:6" ht="20.25">
      <c r="A2369" s="572"/>
      <c r="B2369" s="573"/>
      <c r="C2369" s="573"/>
      <c r="D2369" s="573"/>
      <c r="E2369" s="574"/>
      <c r="F2369" s="575"/>
    </row>
    <row r="2370" spans="1:6" ht="20.25">
      <c r="A2370" s="572"/>
      <c r="B2370" s="573"/>
      <c r="C2370" s="573"/>
      <c r="D2370" s="573"/>
      <c r="E2370" s="574"/>
      <c r="F2370" s="575"/>
    </row>
    <row r="2371" spans="1:6" ht="20.25">
      <c r="A2371" s="572"/>
      <c r="B2371" s="573"/>
      <c r="C2371" s="573"/>
      <c r="D2371" s="573"/>
      <c r="E2371" s="574"/>
      <c r="F2371" s="575"/>
    </row>
    <row r="2372" spans="1:6" ht="20.25">
      <c r="A2372" s="572"/>
      <c r="B2372" s="573"/>
      <c r="C2372" s="573"/>
      <c r="D2372" s="573"/>
      <c r="E2372" s="574"/>
      <c r="F2372" s="575"/>
    </row>
    <row r="2373" spans="1:6" ht="20.25">
      <c r="A2373" s="572"/>
      <c r="B2373" s="573"/>
      <c r="C2373" s="573"/>
      <c r="D2373" s="573"/>
      <c r="E2373" s="574"/>
      <c r="F2373" s="575"/>
    </row>
    <row r="2374" spans="1:6" ht="20.25">
      <c r="A2374" s="572"/>
      <c r="B2374" s="573"/>
      <c r="C2374" s="573"/>
      <c r="D2374" s="573"/>
      <c r="E2374" s="574"/>
      <c r="F2374" s="575"/>
    </row>
    <row r="2375" spans="1:6" ht="20.25">
      <c r="A2375" s="572"/>
      <c r="B2375" s="573"/>
      <c r="C2375" s="573"/>
      <c r="D2375" s="573"/>
      <c r="E2375" s="574"/>
      <c r="F2375" s="575"/>
    </row>
    <row r="2376" spans="1:6" ht="20.25">
      <c r="A2376" s="572"/>
      <c r="B2376" s="573"/>
      <c r="C2376" s="573"/>
      <c r="D2376" s="573"/>
      <c r="E2376" s="574"/>
      <c r="F2376" s="575"/>
    </row>
    <row r="2377" spans="1:6" ht="20.25">
      <c r="A2377" s="572"/>
      <c r="B2377" s="573"/>
      <c r="C2377" s="573"/>
      <c r="D2377" s="573"/>
      <c r="E2377" s="574"/>
      <c r="F2377" s="575"/>
    </row>
    <row r="2378" spans="1:6" ht="20.25">
      <c r="A2378" s="572"/>
      <c r="B2378" s="573"/>
      <c r="C2378" s="573"/>
      <c r="D2378" s="573"/>
      <c r="E2378" s="574"/>
      <c r="F2378" s="575"/>
    </row>
    <row r="2379" spans="1:6" ht="20.25">
      <c r="A2379" s="572"/>
      <c r="B2379" s="573"/>
      <c r="C2379" s="573"/>
      <c r="D2379" s="573"/>
      <c r="E2379" s="574"/>
      <c r="F2379" s="575"/>
    </row>
    <row r="2380" spans="1:6" ht="20.25">
      <c r="A2380" s="572"/>
      <c r="B2380" s="573"/>
      <c r="C2380" s="573"/>
      <c r="D2380" s="573"/>
      <c r="E2380" s="574"/>
      <c r="F2380" s="575"/>
    </row>
    <row r="2381" spans="1:6" ht="20.25">
      <c r="A2381" s="572"/>
      <c r="B2381" s="573"/>
      <c r="C2381" s="573"/>
      <c r="D2381" s="573"/>
      <c r="E2381" s="574"/>
      <c r="F2381" s="575"/>
    </row>
    <row r="2382" spans="1:6" ht="20.25">
      <c r="A2382" s="572"/>
      <c r="B2382" s="573"/>
      <c r="C2382" s="573"/>
      <c r="D2382" s="573"/>
      <c r="E2382" s="574"/>
      <c r="F2382" s="575"/>
    </row>
    <row r="2383" spans="1:6" ht="20.25">
      <c r="A2383" s="572"/>
      <c r="B2383" s="573"/>
      <c r="C2383" s="573"/>
      <c r="D2383" s="573"/>
      <c r="E2383" s="574"/>
      <c r="F2383" s="575"/>
    </row>
    <row r="2384" spans="1:6" ht="20.25">
      <c r="A2384" s="572"/>
      <c r="B2384" s="573"/>
      <c r="C2384" s="573"/>
      <c r="D2384" s="573"/>
      <c r="E2384" s="574"/>
      <c r="F2384" s="575"/>
    </row>
    <row r="2385" spans="1:6" ht="20.25">
      <c r="A2385" s="572"/>
      <c r="B2385" s="573"/>
      <c r="C2385" s="573"/>
      <c r="D2385" s="573"/>
      <c r="E2385" s="574"/>
      <c r="F2385" s="575"/>
    </row>
    <row r="2386" spans="1:6" ht="20.25">
      <c r="A2386" s="572"/>
      <c r="B2386" s="573"/>
      <c r="C2386" s="573"/>
      <c r="D2386" s="573"/>
      <c r="E2386" s="574"/>
      <c r="F2386" s="575"/>
    </row>
    <row r="2387" spans="1:6" ht="20.25">
      <c r="A2387" s="572"/>
      <c r="B2387" s="573"/>
      <c r="C2387" s="573"/>
      <c r="D2387" s="573"/>
      <c r="E2387" s="574"/>
      <c r="F2387" s="575"/>
    </row>
    <row r="2388" spans="1:6" ht="20.25">
      <c r="A2388" s="572"/>
      <c r="B2388" s="573"/>
      <c r="C2388" s="573"/>
      <c r="D2388" s="573"/>
      <c r="E2388" s="574"/>
      <c r="F2388" s="575"/>
    </row>
    <row r="2389" spans="1:6" ht="20.25">
      <c r="A2389" s="572"/>
      <c r="B2389" s="573"/>
      <c r="C2389" s="573"/>
      <c r="D2389" s="573"/>
      <c r="E2389" s="574"/>
      <c r="F2389" s="575"/>
    </row>
    <row r="2390" spans="1:6" ht="20.25">
      <c r="A2390" s="572"/>
      <c r="B2390" s="573"/>
      <c r="C2390" s="573"/>
      <c r="D2390" s="573"/>
      <c r="E2390" s="574"/>
      <c r="F2390" s="575"/>
    </row>
    <row r="2391" spans="1:6" ht="20.25">
      <c r="A2391" s="572"/>
      <c r="B2391" s="573"/>
      <c r="C2391" s="573"/>
      <c r="D2391" s="573"/>
      <c r="E2391" s="574"/>
      <c r="F2391" s="575"/>
    </row>
    <row r="2392" spans="1:6" ht="20.25">
      <c r="A2392" s="572"/>
      <c r="B2392" s="573"/>
      <c r="C2392" s="573"/>
      <c r="D2392" s="573"/>
      <c r="E2392" s="574"/>
      <c r="F2392" s="575"/>
    </row>
    <row r="2393" spans="1:6" ht="20.25">
      <c r="A2393" s="572"/>
      <c r="B2393" s="573"/>
      <c r="C2393" s="573"/>
      <c r="D2393" s="573"/>
      <c r="E2393" s="574"/>
      <c r="F2393" s="575"/>
    </row>
    <row r="2394" spans="1:6" ht="20.25">
      <c r="A2394" s="572"/>
      <c r="B2394" s="573"/>
      <c r="C2394" s="573"/>
      <c r="D2394" s="573"/>
      <c r="E2394" s="574"/>
      <c r="F2394" s="575"/>
    </row>
    <row r="2395" spans="1:6" ht="20.25">
      <c r="A2395" s="572"/>
      <c r="B2395" s="573"/>
      <c r="C2395" s="573"/>
      <c r="D2395" s="573"/>
      <c r="E2395" s="574"/>
      <c r="F2395" s="575"/>
    </row>
    <row r="2396" spans="1:6" ht="20.25">
      <c r="A2396" s="572"/>
      <c r="B2396" s="573"/>
      <c r="C2396" s="573"/>
      <c r="D2396" s="573"/>
      <c r="E2396" s="574"/>
      <c r="F2396" s="575"/>
    </row>
    <row r="2397" spans="1:6" ht="20.25">
      <c r="A2397" s="572"/>
      <c r="B2397" s="573"/>
      <c r="C2397" s="573"/>
      <c r="D2397" s="573"/>
      <c r="E2397" s="574"/>
      <c r="F2397" s="575"/>
    </row>
    <row r="2398" spans="1:6" ht="20.25">
      <c r="A2398" s="572"/>
      <c r="B2398" s="573"/>
      <c r="C2398" s="573"/>
      <c r="D2398" s="573"/>
      <c r="E2398" s="574"/>
      <c r="F2398" s="575"/>
    </row>
    <row r="2399" spans="1:6" ht="20.25">
      <c r="A2399" s="572"/>
      <c r="B2399" s="573"/>
      <c r="C2399" s="573"/>
      <c r="D2399" s="573"/>
      <c r="E2399" s="574"/>
      <c r="F2399" s="575"/>
    </row>
    <row r="2400" spans="1:6" ht="20.25">
      <c r="A2400" s="572"/>
      <c r="B2400" s="573"/>
      <c r="C2400" s="573"/>
      <c r="D2400" s="573"/>
      <c r="E2400" s="574"/>
      <c r="F2400" s="575"/>
    </row>
    <row r="2401" spans="1:6" ht="20.25">
      <c r="A2401" s="572"/>
      <c r="B2401" s="573"/>
      <c r="C2401" s="573"/>
      <c r="D2401" s="573"/>
      <c r="E2401" s="574"/>
      <c r="F2401" s="575"/>
    </row>
    <row r="2402" spans="1:6" ht="20.25">
      <c r="A2402" s="572"/>
      <c r="B2402" s="573"/>
      <c r="C2402" s="573"/>
      <c r="D2402" s="573"/>
      <c r="E2402" s="574"/>
      <c r="F2402" s="575"/>
    </row>
    <row r="2403" spans="1:6" ht="20.25">
      <c r="A2403" s="572"/>
      <c r="B2403" s="573"/>
      <c r="C2403" s="573"/>
      <c r="D2403" s="573"/>
      <c r="E2403" s="574"/>
      <c r="F2403" s="575"/>
    </row>
    <row r="2404" spans="1:6" ht="20.25">
      <c r="A2404" s="572"/>
      <c r="B2404" s="573"/>
      <c r="C2404" s="573"/>
      <c r="D2404" s="573"/>
      <c r="E2404" s="574"/>
      <c r="F2404" s="575"/>
    </row>
    <row r="2405" spans="1:6" ht="20.25">
      <c r="A2405" s="572"/>
      <c r="B2405" s="573"/>
      <c r="C2405" s="573"/>
      <c r="D2405" s="573"/>
      <c r="E2405" s="574"/>
      <c r="F2405" s="575"/>
    </row>
    <row r="2406" spans="1:6" ht="20.25">
      <c r="A2406" s="572"/>
      <c r="B2406" s="573"/>
      <c r="C2406" s="573"/>
      <c r="D2406" s="573"/>
      <c r="E2406" s="574"/>
      <c r="F2406" s="575"/>
    </row>
    <row r="2407" spans="1:6" ht="20.25">
      <c r="A2407" s="572"/>
      <c r="B2407" s="573"/>
      <c r="C2407" s="573"/>
      <c r="D2407" s="573"/>
      <c r="E2407" s="574"/>
      <c r="F2407" s="575"/>
    </row>
    <row r="2408" spans="1:6" ht="20.25">
      <c r="A2408" s="572"/>
      <c r="B2408" s="573"/>
      <c r="C2408" s="573"/>
      <c r="D2408" s="573"/>
      <c r="E2408" s="574"/>
      <c r="F2408" s="575"/>
    </row>
    <row r="2409" spans="1:6" ht="20.25">
      <c r="A2409" s="572"/>
      <c r="B2409" s="573"/>
      <c r="C2409" s="573"/>
      <c r="D2409" s="573"/>
      <c r="E2409" s="574"/>
      <c r="F2409" s="575"/>
    </row>
    <row r="2410" spans="1:6" ht="20.25">
      <c r="A2410" s="572"/>
      <c r="B2410" s="573"/>
      <c r="C2410" s="573"/>
      <c r="D2410" s="573"/>
      <c r="E2410" s="574"/>
      <c r="F2410" s="575"/>
    </row>
    <row r="2411" spans="1:6" ht="20.25">
      <c r="A2411" s="572"/>
      <c r="B2411" s="573"/>
      <c r="C2411" s="573"/>
      <c r="D2411" s="573"/>
      <c r="E2411" s="574"/>
      <c r="F2411" s="575"/>
    </row>
    <row r="2412" spans="1:6" ht="20.25">
      <c r="A2412" s="572"/>
      <c r="B2412" s="573"/>
      <c r="C2412" s="573"/>
      <c r="D2412" s="573"/>
      <c r="E2412" s="574"/>
      <c r="F2412" s="575"/>
    </row>
    <row r="2413" spans="1:6" ht="20.25">
      <c r="A2413" s="572"/>
      <c r="B2413" s="573"/>
      <c r="C2413" s="573"/>
      <c r="D2413" s="573"/>
      <c r="E2413" s="574"/>
      <c r="F2413" s="575"/>
    </row>
    <row r="2414" spans="1:6" ht="20.25">
      <c r="A2414" s="572"/>
      <c r="B2414" s="573"/>
      <c r="C2414" s="573"/>
      <c r="D2414" s="573"/>
      <c r="E2414" s="574"/>
      <c r="F2414" s="575"/>
    </row>
    <row r="2415" spans="1:6" ht="20.25">
      <c r="A2415" s="572"/>
      <c r="B2415" s="573"/>
      <c r="C2415" s="573"/>
      <c r="D2415" s="573"/>
      <c r="E2415" s="574"/>
      <c r="F2415" s="575"/>
    </row>
    <row r="2416" spans="1:6" ht="20.25">
      <c r="A2416" s="572"/>
      <c r="B2416" s="573"/>
      <c r="C2416" s="573"/>
      <c r="D2416" s="573"/>
      <c r="E2416" s="574"/>
      <c r="F2416" s="575"/>
    </row>
    <row r="2417" spans="1:6" ht="20.25">
      <c r="A2417" s="572"/>
      <c r="B2417" s="573"/>
      <c r="C2417" s="573"/>
      <c r="D2417" s="573"/>
      <c r="E2417" s="574"/>
      <c r="F2417" s="575"/>
    </row>
    <row r="2418" spans="1:6" ht="20.25">
      <c r="A2418" s="572"/>
      <c r="B2418" s="573"/>
      <c r="C2418" s="573"/>
      <c r="D2418" s="573"/>
      <c r="E2418" s="574"/>
      <c r="F2418" s="575"/>
    </row>
    <row r="2419" spans="1:6" ht="20.25">
      <c r="A2419" s="572"/>
      <c r="B2419" s="573"/>
      <c r="C2419" s="573"/>
      <c r="D2419" s="573"/>
      <c r="E2419" s="574"/>
      <c r="F2419" s="575"/>
    </row>
    <row r="2420" spans="1:6" ht="20.25">
      <c r="A2420" s="572"/>
      <c r="B2420" s="573"/>
      <c r="C2420" s="573"/>
      <c r="D2420" s="573"/>
      <c r="E2420" s="574"/>
      <c r="F2420" s="575"/>
    </row>
    <row r="2421" spans="1:6" ht="20.25">
      <c r="A2421" s="572"/>
      <c r="B2421" s="573"/>
      <c r="C2421" s="573"/>
      <c r="D2421" s="573"/>
      <c r="E2421" s="574"/>
      <c r="F2421" s="575"/>
    </row>
    <row r="2422" spans="1:6" ht="20.25">
      <c r="A2422" s="572"/>
      <c r="B2422" s="573"/>
      <c r="C2422" s="573"/>
      <c r="D2422" s="573"/>
      <c r="E2422" s="574"/>
      <c r="F2422" s="575"/>
    </row>
    <row r="2423" spans="1:6" ht="20.25">
      <c r="A2423" s="572"/>
      <c r="B2423" s="573"/>
      <c r="C2423" s="573"/>
      <c r="D2423" s="573"/>
      <c r="E2423" s="574"/>
      <c r="F2423" s="575"/>
    </row>
    <row r="2424" spans="1:6" ht="20.25">
      <c r="A2424" s="572"/>
      <c r="B2424" s="573"/>
      <c r="C2424" s="573"/>
      <c r="D2424" s="573"/>
      <c r="E2424" s="574"/>
      <c r="F2424" s="575"/>
    </row>
    <row r="2425" spans="1:6" ht="20.25">
      <c r="A2425" s="572"/>
      <c r="B2425" s="573"/>
      <c r="C2425" s="573"/>
      <c r="D2425" s="573"/>
      <c r="E2425" s="574"/>
      <c r="F2425" s="575"/>
    </row>
    <row r="2426" spans="1:6" ht="20.25">
      <c r="A2426" s="572"/>
      <c r="B2426" s="573"/>
      <c r="C2426" s="573"/>
      <c r="D2426" s="573"/>
      <c r="E2426" s="574"/>
      <c r="F2426" s="575"/>
    </row>
    <row r="2427" spans="1:6" ht="20.25">
      <c r="A2427" s="572"/>
      <c r="B2427" s="573"/>
      <c r="C2427" s="573"/>
      <c r="D2427" s="573"/>
      <c r="E2427" s="574"/>
      <c r="F2427" s="575"/>
    </row>
    <row r="2428" spans="1:6" ht="20.25">
      <c r="A2428" s="572"/>
      <c r="B2428" s="573"/>
      <c r="C2428" s="573"/>
      <c r="D2428" s="573"/>
      <c r="E2428" s="574"/>
      <c r="F2428" s="575"/>
    </row>
    <row r="2429" spans="1:6" ht="20.25">
      <c r="A2429" s="572"/>
      <c r="B2429" s="573"/>
      <c r="C2429" s="573"/>
      <c r="D2429" s="573"/>
      <c r="E2429" s="574"/>
      <c r="F2429" s="575"/>
    </row>
    <row r="2430" spans="1:6" ht="20.25">
      <c r="A2430" s="572"/>
      <c r="B2430" s="573"/>
      <c r="C2430" s="573"/>
      <c r="D2430" s="573"/>
      <c r="E2430" s="574"/>
      <c r="F2430" s="575"/>
    </row>
    <row r="2431" spans="1:6" ht="20.25">
      <c r="A2431" s="572"/>
      <c r="B2431" s="573"/>
      <c r="C2431" s="573"/>
      <c r="D2431" s="573"/>
      <c r="E2431" s="574"/>
      <c r="F2431" s="575"/>
    </row>
    <row r="2432" spans="1:6" ht="20.25">
      <c r="A2432" s="572"/>
      <c r="B2432" s="573"/>
      <c r="C2432" s="573"/>
      <c r="D2432" s="573"/>
      <c r="E2432" s="574"/>
      <c r="F2432" s="575"/>
    </row>
    <row r="2433" spans="1:6" ht="20.25">
      <c r="A2433" s="572"/>
      <c r="B2433" s="573"/>
      <c r="C2433" s="573"/>
      <c r="D2433" s="573"/>
      <c r="E2433" s="574"/>
      <c r="F2433" s="575"/>
    </row>
    <row r="2434" spans="1:6" ht="20.25">
      <c r="A2434" s="572"/>
      <c r="B2434" s="573"/>
      <c r="C2434" s="573"/>
      <c r="D2434" s="573"/>
      <c r="E2434" s="574"/>
      <c r="F2434" s="575"/>
    </row>
    <row r="2435" spans="1:6" ht="20.25">
      <c r="A2435" s="572"/>
      <c r="B2435" s="573"/>
      <c r="C2435" s="573"/>
      <c r="D2435" s="573"/>
      <c r="E2435" s="574"/>
      <c r="F2435" s="575"/>
    </row>
    <row r="2436" spans="1:6" ht="20.25">
      <c r="A2436" s="572"/>
      <c r="B2436" s="573"/>
      <c r="C2436" s="573"/>
      <c r="D2436" s="573"/>
      <c r="E2436" s="574"/>
      <c r="F2436" s="575"/>
    </row>
    <row r="2437" spans="1:6" ht="20.25">
      <c r="A2437" s="572"/>
      <c r="B2437" s="573"/>
      <c r="C2437" s="573"/>
      <c r="D2437" s="573"/>
      <c r="E2437" s="574"/>
      <c r="F2437" s="575"/>
    </row>
    <row r="2438" spans="1:6" ht="20.25">
      <c r="A2438" s="572"/>
      <c r="B2438" s="573"/>
      <c r="C2438" s="573"/>
      <c r="D2438" s="573"/>
      <c r="E2438" s="574"/>
      <c r="F2438" s="575"/>
    </row>
    <row r="2439" spans="1:6" ht="20.25">
      <c r="A2439" s="572"/>
      <c r="B2439" s="573"/>
      <c r="C2439" s="573"/>
      <c r="D2439" s="573"/>
      <c r="E2439" s="574"/>
      <c r="F2439" s="575"/>
    </row>
    <row r="2440" spans="1:6" ht="20.25">
      <c r="A2440" s="572"/>
      <c r="B2440" s="573"/>
      <c r="C2440" s="573"/>
      <c r="D2440" s="573"/>
      <c r="E2440" s="574"/>
      <c r="F2440" s="575"/>
    </row>
    <row r="2441" spans="1:6" ht="20.25">
      <c r="A2441" s="572"/>
      <c r="B2441" s="573"/>
      <c r="C2441" s="573"/>
      <c r="D2441" s="573"/>
      <c r="E2441" s="574"/>
      <c r="F2441" s="575"/>
    </row>
    <row r="2442" spans="1:6" ht="20.25">
      <c r="A2442" s="572"/>
      <c r="B2442" s="573"/>
      <c r="C2442" s="573"/>
      <c r="D2442" s="573"/>
      <c r="E2442" s="574"/>
      <c r="F2442" s="575"/>
    </row>
    <row r="2443" spans="1:6" ht="20.25">
      <c r="A2443" s="572"/>
      <c r="B2443" s="573"/>
      <c r="C2443" s="573"/>
      <c r="D2443" s="573"/>
      <c r="E2443" s="574"/>
      <c r="F2443" s="575"/>
    </row>
    <row r="2444" spans="1:6" ht="20.25">
      <c r="A2444" s="572"/>
      <c r="B2444" s="573"/>
      <c r="C2444" s="573"/>
      <c r="D2444" s="573"/>
      <c r="E2444" s="574"/>
      <c r="F2444" s="575"/>
    </row>
    <row r="2445" spans="1:6" ht="20.25">
      <c r="A2445" s="572"/>
      <c r="B2445" s="573"/>
      <c r="C2445" s="573"/>
      <c r="D2445" s="573"/>
      <c r="E2445" s="574"/>
      <c r="F2445" s="575"/>
    </row>
    <row r="2446" spans="1:6" ht="20.25">
      <c r="A2446" s="572"/>
      <c r="B2446" s="573"/>
      <c r="C2446" s="573"/>
      <c r="D2446" s="573"/>
      <c r="E2446" s="574"/>
      <c r="F2446" s="575"/>
    </row>
    <row r="2447" spans="1:6" ht="20.25">
      <c r="A2447" s="572"/>
      <c r="B2447" s="573"/>
      <c r="C2447" s="573"/>
      <c r="D2447" s="573"/>
      <c r="E2447" s="574"/>
      <c r="F2447" s="575"/>
    </row>
    <row r="2448" spans="1:6" ht="20.25">
      <c r="A2448" s="572"/>
      <c r="B2448" s="573"/>
      <c r="C2448" s="573"/>
      <c r="D2448" s="573"/>
      <c r="E2448" s="574"/>
      <c r="F2448" s="575"/>
    </row>
    <row r="2449" spans="1:6" ht="20.25">
      <c r="A2449" s="572"/>
      <c r="B2449" s="573"/>
      <c r="C2449" s="573"/>
      <c r="D2449" s="573"/>
      <c r="E2449" s="574"/>
      <c r="F2449" s="575"/>
    </row>
    <row r="2450" spans="1:6" ht="20.25">
      <c r="A2450" s="572"/>
      <c r="B2450" s="573"/>
      <c r="C2450" s="573"/>
      <c r="D2450" s="573"/>
      <c r="E2450" s="574"/>
      <c r="F2450" s="575"/>
    </row>
    <row r="2451" spans="1:6" ht="20.25">
      <c r="A2451" s="572"/>
      <c r="B2451" s="573"/>
      <c r="C2451" s="573"/>
      <c r="D2451" s="573"/>
      <c r="E2451" s="574"/>
      <c r="F2451" s="575"/>
    </row>
    <row r="2452" spans="1:6" ht="20.25">
      <c r="A2452" s="572"/>
      <c r="B2452" s="573"/>
      <c r="C2452" s="573"/>
      <c r="D2452" s="573"/>
      <c r="E2452" s="574"/>
      <c r="F2452" s="575"/>
    </row>
    <row r="2453" spans="1:6" ht="20.25">
      <c r="A2453" s="572"/>
      <c r="B2453" s="573"/>
      <c r="C2453" s="573"/>
      <c r="D2453" s="573"/>
      <c r="E2453" s="574"/>
      <c r="F2453" s="575"/>
    </row>
    <row r="2454" spans="1:6" ht="20.25">
      <c r="A2454" s="572"/>
      <c r="B2454" s="573"/>
      <c r="C2454" s="573"/>
      <c r="D2454" s="573"/>
      <c r="E2454" s="574"/>
      <c r="F2454" s="575"/>
    </row>
    <row r="2455" spans="1:6" ht="20.25">
      <c r="A2455" s="572"/>
      <c r="B2455" s="573"/>
      <c r="C2455" s="573"/>
      <c r="D2455" s="573"/>
      <c r="E2455" s="574"/>
      <c r="F2455" s="575"/>
    </row>
    <row r="2456" spans="1:6" ht="20.25">
      <c r="A2456" s="572"/>
      <c r="B2456" s="573"/>
      <c r="C2456" s="573"/>
      <c r="D2456" s="573"/>
      <c r="E2456" s="574"/>
      <c r="F2456" s="575"/>
    </row>
    <row r="2457" spans="1:6" ht="20.25">
      <c r="A2457" s="572"/>
      <c r="B2457" s="573"/>
      <c r="C2457" s="573"/>
      <c r="D2457" s="573"/>
      <c r="E2457" s="574"/>
      <c r="F2457" s="575"/>
    </row>
    <row r="2458" spans="1:6" ht="20.25">
      <c r="A2458" s="572"/>
      <c r="B2458" s="573"/>
      <c r="C2458" s="573"/>
      <c r="D2458" s="573"/>
      <c r="E2458" s="574"/>
      <c r="F2458" s="575"/>
    </row>
    <row r="2459" spans="1:6" ht="20.25">
      <c r="A2459" s="572"/>
      <c r="B2459" s="573"/>
      <c r="C2459" s="573"/>
      <c r="D2459" s="573"/>
      <c r="E2459" s="574"/>
      <c r="F2459" s="575"/>
    </row>
    <row r="2460" spans="1:6" ht="20.25">
      <c r="A2460" s="572"/>
      <c r="B2460" s="573"/>
      <c r="C2460" s="573"/>
      <c r="D2460" s="573"/>
      <c r="E2460" s="574"/>
      <c r="F2460" s="575"/>
    </row>
    <row r="2461" spans="1:6" ht="20.25">
      <c r="A2461" s="572"/>
      <c r="B2461" s="573"/>
      <c r="C2461" s="573"/>
      <c r="D2461" s="573"/>
      <c r="E2461" s="574"/>
      <c r="F2461" s="575"/>
    </row>
    <row r="2462" spans="1:6" ht="20.25">
      <c r="A2462" s="572"/>
      <c r="B2462" s="573"/>
      <c r="C2462" s="573"/>
      <c r="D2462" s="573"/>
      <c r="E2462" s="574"/>
      <c r="F2462" s="575"/>
    </row>
    <row r="2463" spans="1:6" ht="20.25">
      <c r="A2463" s="572"/>
      <c r="B2463" s="573"/>
      <c r="C2463" s="573"/>
      <c r="D2463" s="573"/>
      <c r="E2463" s="574"/>
      <c r="F2463" s="575"/>
    </row>
    <row r="2464" spans="1:6" ht="20.25">
      <c r="A2464" s="572"/>
      <c r="B2464" s="573"/>
      <c r="C2464" s="573"/>
      <c r="D2464" s="573"/>
      <c r="E2464" s="574"/>
      <c r="F2464" s="575"/>
    </row>
    <row r="2465" spans="1:6" ht="20.25">
      <c r="A2465" s="572"/>
      <c r="B2465" s="573"/>
      <c r="C2465" s="573"/>
      <c r="D2465" s="573"/>
      <c r="E2465" s="574"/>
      <c r="F2465" s="575"/>
    </row>
    <row r="2466" spans="1:6" ht="20.25">
      <c r="A2466" s="572"/>
      <c r="B2466" s="573"/>
      <c r="C2466" s="573"/>
      <c r="D2466" s="573"/>
      <c r="E2466" s="574"/>
      <c r="F2466" s="575"/>
    </row>
    <row r="2467" spans="1:6" ht="20.25">
      <c r="A2467" s="572"/>
      <c r="B2467" s="573"/>
      <c r="C2467" s="573"/>
      <c r="D2467" s="573"/>
      <c r="E2467" s="574"/>
      <c r="F2467" s="575"/>
    </row>
    <row r="2468" spans="1:6" ht="20.25">
      <c r="A2468" s="572"/>
      <c r="B2468" s="573"/>
      <c r="C2468" s="573"/>
      <c r="D2468" s="573"/>
      <c r="E2468" s="574"/>
      <c r="F2468" s="575"/>
    </row>
    <row r="2469" spans="1:6" ht="20.25">
      <c r="A2469" s="572"/>
      <c r="B2469" s="573"/>
      <c r="C2469" s="573"/>
      <c r="D2469" s="573"/>
      <c r="E2469" s="574"/>
      <c r="F2469" s="575"/>
    </row>
    <row r="2470" spans="1:6" ht="20.25">
      <c r="A2470" s="572"/>
      <c r="B2470" s="573"/>
      <c r="C2470" s="573"/>
      <c r="D2470" s="573"/>
      <c r="E2470" s="574"/>
      <c r="F2470" s="575"/>
    </row>
    <row r="2471" spans="1:6" ht="20.25">
      <c r="A2471" s="572"/>
      <c r="B2471" s="573"/>
      <c r="C2471" s="573"/>
      <c r="D2471" s="573"/>
      <c r="E2471" s="574"/>
      <c r="F2471" s="575"/>
    </row>
    <row r="2472" spans="1:6" ht="20.25">
      <c r="A2472" s="572"/>
      <c r="B2472" s="573"/>
      <c r="C2472" s="573"/>
      <c r="D2472" s="573"/>
      <c r="E2472" s="574"/>
      <c r="F2472" s="575"/>
    </row>
    <row r="2473" spans="1:6" ht="20.25">
      <c r="A2473" s="572"/>
      <c r="B2473" s="573"/>
      <c r="C2473" s="573"/>
      <c r="D2473" s="573"/>
      <c r="E2473" s="574"/>
      <c r="F2473" s="575"/>
    </row>
    <row r="2474" spans="1:6" ht="20.25">
      <c r="A2474" s="572"/>
      <c r="B2474" s="573"/>
      <c r="C2474" s="573"/>
      <c r="D2474" s="573"/>
      <c r="E2474" s="574"/>
      <c r="F2474" s="575"/>
    </row>
    <row r="2475" spans="1:6" ht="20.25">
      <c r="A2475" s="572"/>
      <c r="B2475" s="573"/>
      <c r="C2475" s="573"/>
      <c r="D2475" s="573"/>
      <c r="E2475" s="574"/>
      <c r="F2475" s="575"/>
    </row>
    <row r="2476" spans="1:6" ht="20.25">
      <c r="A2476" s="572"/>
      <c r="B2476" s="573"/>
      <c r="C2476" s="573"/>
      <c r="D2476" s="573"/>
      <c r="E2476" s="574"/>
      <c r="F2476" s="575"/>
    </row>
    <row r="2477" spans="1:6" ht="20.25">
      <c r="A2477" s="572"/>
      <c r="B2477" s="573"/>
      <c r="C2477" s="573"/>
      <c r="D2477" s="573"/>
      <c r="E2477" s="574"/>
      <c r="F2477" s="575"/>
    </row>
    <row r="2478" spans="1:6" ht="20.25">
      <c r="A2478" s="572"/>
      <c r="B2478" s="573"/>
      <c r="C2478" s="573"/>
      <c r="D2478" s="573"/>
      <c r="E2478" s="574"/>
      <c r="F2478" s="575"/>
    </row>
    <row r="2479" spans="1:6" ht="20.25">
      <c r="A2479" s="572"/>
      <c r="B2479" s="573"/>
      <c r="C2479" s="573"/>
      <c r="D2479" s="573"/>
      <c r="E2479" s="574"/>
      <c r="F2479" s="575"/>
    </row>
    <row r="2480" spans="1:6" ht="20.25">
      <c r="A2480" s="572"/>
      <c r="B2480" s="573"/>
      <c r="C2480" s="573"/>
      <c r="D2480" s="573"/>
      <c r="E2480" s="574"/>
      <c r="F2480" s="575"/>
    </row>
    <row r="2481" spans="1:6" ht="20.25">
      <c r="A2481" s="572"/>
      <c r="B2481" s="573"/>
      <c r="C2481" s="573"/>
      <c r="D2481" s="573"/>
      <c r="E2481" s="574"/>
      <c r="F2481" s="575"/>
    </row>
    <row r="2482" spans="1:6" ht="20.25">
      <c r="A2482" s="572"/>
      <c r="B2482" s="573"/>
      <c r="C2482" s="573"/>
      <c r="D2482" s="573"/>
      <c r="E2482" s="574"/>
      <c r="F2482" s="575"/>
    </row>
    <row r="2483" spans="1:6" ht="20.25">
      <c r="A2483" s="572"/>
      <c r="B2483" s="573"/>
      <c r="C2483" s="573"/>
      <c r="D2483" s="573"/>
      <c r="E2483" s="574"/>
      <c r="F2483" s="575"/>
    </row>
    <row r="2484" spans="1:6" ht="20.25">
      <c r="A2484" s="572"/>
      <c r="B2484" s="573"/>
      <c r="C2484" s="573"/>
      <c r="D2484" s="573"/>
      <c r="E2484" s="574"/>
      <c r="F2484" s="575"/>
    </row>
    <row r="2485" spans="1:6" ht="20.25">
      <c r="A2485" s="572"/>
      <c r="B2485" s="573"/>
      <c r="C2485" s="573"/>
      <c r="D2485" s="573"/>
      <c r="E2485" s="574"/>
      <c r="F2485" s="575"/>
    </row>
    <row r="2486" spans="1:6" ht="20.25">
      <c r="A2486" s="572"/>
      <c r="B2486" s="573"/>
      <c r="C2486" s="573"/>
      <c r="D2486" s="573"/>
      <c r="E2486" s="574"/>
      <c r="F2486" s="575"/>
    </row>
    <row r="2487" spans="1:6" ht="20.25">
      <c r="A2487" s="572"/>
      <c r="B2487" s="573"/>
      <c r="C2487" s="573"/>
      <c r="D2487" s="573"/>
      <c r="E2487" s="574"/>
      <c r="F2487" s="575"/>
    </row>
    <row r="2488" spans="1:6" ht="20.25">
      <c r="A2488" s="572"/>
      <c r="B2488" s="573"/>
      <c r="C2488" s="573"/>
      <c r="D2488" s="573"/>
      <c r="E2488" s="574"/>
      <c r="F2488" s="575"/>
    </row>
    <row r="2489" spans="1:6" ht="20.25">
      <c r="A2489" s="572"/>
      <c r="B2489" s="573"/>
      <c r="C2489" s="573"/>
      <c r="D2489" s="573"/>
      <c r="E2489" s="574"/>
      <c r="F2489" s="575"/>
    </row>
    <row r="2490" spans="1:6" ht="20.25">
      <c r="A2490" s="572"/>
      <c r="B2490" s="573"/>
      <c r="C2490" s="573"/>
      <c r="D2490" s="573"/>
      <c r="E2490" s="574"/>
      <c r="F2490" s="575"/>
    </row>
    <row r="2491" spans="1:6" ht="20.25">
      <c r="A2491" s="572"/>
      <c r="B2491" s="573"/>
      <c r="C2491" s="573"/>
      <c r="D2491" s="573"/>
      <c r="E2491" s="574"/>
      <c r="F2491" s="575"/>
    </row>
    <row r="2492" spans="1:6" ht="20.25">
      <c r="A2492" s="572"/>
      <c r="B2492" s="573"/>
      <c r="C2492" s="573"/>
      <c r="D2492" s="573"/>
      <c r="E2492" s="574"/>
      <c r="F2492" s="575"/>
    </row>
    <row r="2493" spans="1:6" ht="20.25">
      <c r="A2493" s="572"/>
      <c r="B2493" s="573"/>
      <c r="C2493" s="573"/>
      <c r="D2493" s="573"/>
      <c r="E2493" s="574"/>
      <c r="F2493" s="575"/>
    </row>
    <row r="2494" spans="1:6" ht="20.25">
      <c r="A2494" s="572"/>
      <c r="B2494" s="573"/>
      <c r="C2494" s="573"/>
      <c r="D2494" s="573"/>
      <c r="E2494" s="574"/>
      <c r="F2494" s="575"/>
    </row>
    <row r="2495" spans="1:6" ht="20.25">
      <c r="A2495" s="572"/>
      <c r="B2495" s="573"/>
      <c r="C2495" s="573"/>
      <c r="D2495" s="573"/>
      <c r="E2495" s="574"/>
      <c r="F2495" s="575"/>
    </row>
    <row r="2496" spans="1:6" ht="20.25">
      <c r="A2496" s="572"/>
      <c r="B2496" s="573"/>
      <c r="C2496" s="573"/>
      <c r="D2496" s="573"/>
      <c r="E2496" s="574"/>
      <c r="F2496" s="575"/>
    </row>
    <row r="2497" spans="1:6" ht="20.25">
      <c r="A2497" s="572"/>
      <c r="B2497" s="573"/>
      <c r="C2497" s="573"/>
      <c r="D2497" s="573"/>
      <c r="E2497" s="574"/>
      <c r="F2497" s="575"/>
    </row>
    <row r="2498" spans="1:6" ht="20.25">
      <c r="A2498" s="572"/>
      <c r="B2498" s="573"/>
      <c r="C2498" s="573"/>
      <c r="D2498" s="573"/>
      <c r="E2498" s="574"/>
      <c r="F2498" s="575"/>
    </row>
    <row r="2499" spans="1:6" ht="20.25">
      <c r="A2499" s="572"/>
      <c r="B2499" s="573"/>
      <c r="C2499" s="573"/>
      <c r="D2499" s="573"/>
      <c r="E2499" s="574"/>
      <c r="F2499" s="575"/>
    </row>
    <row r="2500" spans="1:6" ht="20.25">
      <c r="A2500" s="572"/>
      <c r="B2500" s="573"/>
      <c r="C2500" s="573"/>
      <c r="D2500" s="573"/>
      <c r="E2500" s="574"/>
      <c r="F2500" s="575"/>
    </row>
    <row r="2501" spans="1:6" ht="20.25">
      <c r="A2501" s="572"/>
      <c r="B2501" s="573"/>
      <c r="C2501" s="573"/>
      <c r="D2501" s="573"/>
      <c r="E2501" s="574"/>
      <c r="F2501" s="575"/>
    </row>
    <row r="2502" spans="1:6" ht="20.25">
      <c r="A2502" s="572"/>
      <c r="B2502" s="573"/>
      <c r="C2502" s="573"/>
      <c r="D2502" s="573"/>
      <c r="E2502" s="574"/>
      <c r="F2502" s="575"/>
    </row>
    <row r="2503" spans="1:6" ht="20.25">
      <c r="A2503" s="572"/>
      <c r="B2503" s="573"/>
      <c r="C2503" s="573"/>
      <c r="D2503" s="573"/>
      <c r="E2503" s="574"/>
      <c r="F2503" s="575"/>
    </row>
    <row r="2504" spans="1:6" ht="20.25">
      <c r="A2504" s="572"/>
      <c r="B2504" s="573"/>
      <c r="C2504" s="573"/>
      <c r="D2504" s="573"/>
      <c r="E2504" s="574"/>
      <c r="F2504" s="575"/>
    </row>
    <row r="2505" spans="1:6" ht="20.25">
      <c r="A2505" s="572"/>
      <c r="B2505" s="573"/>
      <c r="C2505" s="573"/>
      <c r="D2505" s="573"/>
      <c r="E2505" s="574"/>
      <c r="F2505" s="575"/>
    </row>
    <row r="2506" spans="1:6" ht="20.25">
      <c r="A2506" s="572"/>
      <c r="B2506" s="573"/>
      <c r="C2506" s="573"/>
      <c r="D2506" s="573"/>
      <c r="E2506" s="574"/>
      <c r="F2506" s="575"/>
    </row>
    <row r="2507" spans="1:6" ht="20.25">
      <c r="A2507" s="572"/>
      <c r="B2507" s="573"/>
      <c r="C2507" s="573"/>
      <c r="D2507" s="573"/>
      <c r="E2507" s="574"/>
      <c r="F2507" s="575"/>
    </row>
    <row r="2508" spans="1:6" ht="20.25">
      <c r="A2508" s="572"/>
      <c r="B2508" s="573"/>
      <c r="C2508" s="573"/>
      <c r="D2508" s="573"/>
      <c r="E2508" s="574"/>
      <c r="F2508" s="575"/>
    </row>
    <row r="2509" spans="1:6" ht="20.25">
      <c r="A2509" s="572"/>
      <c r="B2509" s="573"/>
      <c r="C2509" s="573"/>
      <c r="D2509" s="573"/>
      <c r="E2509" s="574"/>
      <c r="F2509" s="575"/>
    </row>
    <row r="2510" spans="1:6" ht="20.25">
      <c r="A2510" s="572"/>
      <c r="B2510" s="573"/>
      <c r="C2510" s="573"/>
      <c r="D2510" s="573"/>
      <c r="E2510" s="574"/>
      <c r="F2510" s="575"/>
    </row>
    <row r="2511" spans="1:6" ht="20.25">
      <c r="A2511" s="572"/>
      <c r="B2511" s="573"/>
      <c r="C2511" s="573"/>
      <c r="D2511" s="573"/>
      <c r="E2511" s="574"/>
      <c r="F2511" s="575"/>
    </row>
    <row r="2512" spans="1:6" ht="20.25">
      <c r="A2512" s="572"/>
      <c r="B2512" s="573"/>
      <c r="C2512" s="573"/>
      <c r="D2512" s="573"/>
      <c r="E2512" s="574"/>
      <c r="F2512" s="575"/>
    </row>
    <row r="2513" spans="1:6" ht="20.25">
      <c r="A2513" s="572"/>
      <c r="B2513" s="573"/>
      <c r="C2513" s="573"/>
      <c r="D2513" s="573"/>
      <c r="E2513" s="574"/>
      <c r="F2513" s="575"/>
    </row>
    <row r="2514" spans="1:6" ht="20.25">
      <c r="A2514" s="572"/>
      <c r="B2514" s="573"/>
      <c r="C2514" s="573"/>
      <c r="D2514" s="573"/>
      <c r="E2514" s="574"/>
      <c r="F2514" s="575"/>
    </row>
    <row r="2515" spans="1:6" ht="20.25">
      <c r="A2515" s="572"/>
      <c r="B2515" s="573"/>
      <c r="C2515" s="573"/>
      <c r="D2515" s="573"/>
      <c r="E2515" s="574"/>
      <c r="F2515" s="575"/>
    </row>
    <row r="2516" spans="1:6" ht="20.25">
      <c r="A2516" s="572"/>
      <c r="B2516" s="573"/>
      <c r="C2516" s="573"/>
      <c r="D2516" s="573"/>
      <c r="E2516" s="574"/>
      <c r="F2516" s="575"/>
    </row>
    <row r="2517" spans="1:6" ht="20.25">
      <c r="A2517" s="572"/>
      <c r="B2517" s="573"/>
      <c r="C2517" s="573"/>
      <c r="D2517" s="573"/>
      <c r="E2517" s="574"/>
      <c r="F2517" s="575"/>
    </row>
    <row r="2518" spans="1:6" ht="20.25">
      <c r="A2518" s="572"/>
      <c r="B2518" s="573"/>
      <c r="C2518" s="573"/>
      <c r="D2518" s="573"/>
      <c r="E2518" s="574"/>
      <c r="F2518" s="575"/>
    </row>
    <row r="2519" spans="1:6" ht="20.25">
      <c r="A2519" s="572"/>
      <c r="B2519" s="573"/>
      <c r="C2519" s="573"/>
      <c r="D2519" s="573"/>
      <c r="E2519" s="574"/>
      <c r="F2519" s="575"/>
    </row>
    <row r="2520" spans="1:6" ht="20.25">
      <c r="A2520" s="572"/>
      <c r="B2520" s="573"/>
      <c r="C2520" s="573"/>
      <c r="D2520" s="573"/>
      <c r="E2520" s="574"/>
      <c r="F2520" s="575"/>
    </row>
    <row r="2521" spans="1:6" ht="20.25">
      <c r="A2521" s="572"/>
      <c r="B2521" s="573"/>
      <c r="C2521" s="573"/>
      <c r="D2521" s="573"/>
      <c r="E2521" s="574"/>
      <c r="F2521" s="575"/>
    </row>
    <row r="2522" spans="1:6" ht="20.25">
      <c r="A2522" s="572"/>
      <c r="B2522" s="573"/>
      <c r="C2522" s="573"/>
      <c r="D2522" s="573"/>
      <c r="E2522" s="574"/>
      <c r="F2522" s="575"/>
    </row>
    <row r="2523" spans="1:6" ht="20.25">
      <c r="A2523" s="572"/>
      <c r="B2523" s="573"/>
      <c r="C2523" s="573"/>
      <c r="D2523" s="573"/>
      <c r="E2523" s="574"/>
      <c r="F2523" s="575"/>
    </row>
    <row r="2524" spans="1:6" ht="20.25">
      <c r="A2524" s="572"/>
      <c r="B2524" s="573"/>
      <c r="C2524" s="573"/>
      <c r="D2524" s="573"/>
      <c r="E2524" s="574"/>
      <c r="F2524" s="575"/>
    </row>
    <row r="2525" spans="1:6" ht="20.25">
      <c r="A2525" s="572"/>
      <c r="B2525" s="573"/>
      <c r="C2525" s="573"/>
      <c r="D2525" s="573"/>
      <c r="E2525" s="574"/>
      <c r="F2525" s="575"/>
    </row>
    <row r="2526" spans="1:6" ht="20.25">
      <c r="A2526" s="572"/>
      <c r="B2526" s="573"/>
      <c r="C2526" s="573"/>
      <c r="D2526" s="573"/>
      <c r="E2526" s="574"/>
      <c r="F2526" s="575"/>
    </row>
    <row r="2527" spans="1:6" ht="20.25">
      <c r="A2527" s="572"/>
      <c r="B2527" s="573"/>
      <c r="C2527" s="573"/>
      <c r="D2527" s="573"/>
      <c r="E2527" s="574"/>
      <c r="F2527" s="575"/>
    </row>
    <row r="2528" spans="1:6" ht="20.25">
      <c r="A2528" s="572"/>
      <c r="B2528" s="573"/>
      <c r="C2528" s="573"/>
      <c r="D2528" s="573"/>
      <c r="E2528" s="574"/>
      <c r="F2528" s="575"/>
    </row>
    <row r="2529" spans="1:6" ht="20.25">
      <c r="A2529" s="572"/>
      <c r="B2529" s="573"/>
      <c r="C2529" s="573"/>
      <c r="D2529" s="573"/>
      <c r="E2529" s="574"/>
      <c r="F2529" s="575"/>
    </row>
    <row r="2530" spans="1:6" ht="20.25">
      <c r="A2530" s="572"/>
      <c r="B2530" s="573"/>
      <c r="C2530" s="573"/>
      <c r="D2530" s="573"/>
      <c r="E2530" s="574"/>
      <c r="F2530" s="575"/>
    </row>
    <row r="2531" spans="1:6" ht="20.25">
      <c r="A2531" s="572"/>
      <c r="B2531" s="573"/>
      <c r="C2531" s="573"/>
      <c r="D2531" s="573"/>
      <c r="E2531" s="574"/>
      <c r="F2531" s="575"/>
    </row>
    <row r="2532" spans="1:6" ht="20.25">
      <c r="A2532" s="572"/>
      <c r="B2532" s="573"/>
      <c r="C2532" s="573"/>
      <c r="D2532" s="573"/>
      <c r="E2532" s="574"/>
      <c r="F2532" s="575"/>
    </row>
    <row r="2533" spans="1:6" ht="20.25">
      <c r="A2533" s="572"/>
      <c r="B2533" s="573"/>
      <c r="C2533" s="573"/>
      <c r="D2533" s="573"/>
      <c r="E2533" s="574"/>
      <c r="F2533" s="575"/>
    </row>
    <row r="2534" spans="1:6" ht="20.25">
      <c r="A2534" s="572"/>
      <c r="B2534" s="573"/>
      <c r="C2534" s="573"/>
      <c r="D2534" s="573"/>
      <c r="E2534" s="574"/>
      <c r="F2534" s="575"/>
    </row>
    <row r="2535" spans="1:6" ht="20.25">
      <c r="A2535" s="572"/>
      <c r="B2535" s="573"/>
      <c r="C2535" s="573"/>
      <c r="D2535" s="573"/>
      <c r="E2535" s="574"/>
      <c r="F2535" s="575"/>
    </row>
    <row r="2536" spans="1:6" ht="20.25">
      <c r="A2536" s="572"/>
      <c r="B2536" s="573"/>
      <c r="C2536" s="573"/>
      <c r="D2536" s="573"/>
      <c r="E2536" s="574"/>
      <c r="F2536" s="575"/>
    </row>
    <row r="2537" spans="1:6" ht="20.25">
      <c r="A2537" s="572"/>
      <c r="B2537" s="573"/>
      <c r="C2537" s="573"/>
      <c r="D2537" s="573"/>
      <c r="E2537" s="574"/>
      <c r="F2537" s="575"/>
    </row>
    <row r="2538" spans="1:6" ht="20.25">
      <c r="A2538" s="572"/>
      <c r="B2538" s="573"/>
      <c r="C2538" s="573"/>
      <c r="D2538" s="573"/>
      <c r="E2538" s="574"/>
      <c r="F2538" s="575"/>
    </row>
    <row r="2539" spans="1:6" ht="20.25">
      <c r="A2539" s="572"/>
      <c r="B2539" s="573"/>
      <c r="C2539" s="573"/>
      <c r="D2539" s="573"/>
      <c r="E2539" s="574"/>
      <c r="F2539" s="575"/>
    </row>
    <row r="2540" spans="1:6" ht="20.25">
      <c r="A2540" s="572"/>
      <c r="B2540" s="573"/>
      <c r="C2540" s="573"/>
      <c r="D2540" s="573"/>
      <c r="E2540" s="574"/>
      <c r="F2540" s="575"/>
    </row>
    <row r="2541" spans="1:6" ht="20.25">
      <c r="A2541" s="572"/>
      <c r="B2541" s="573"/>
      <c r="C2541" s="573"/>
      <c r="D2541" s="573"/>
      <c r="E2541" s="574"/>
      <c r="F2541" s="575"/>
    </row>
    <row r="2542" spans="1:6" ht="20.25">
      <c r="A2542" s="572"/>
      <c r="B2542" s="573"/>
      <c r="C2542" s="573"/>
      <c r="D2542" s="573"/>
      <c r="E2542" s="574"/>
      <c r="F2542" s="575"/>
    </row>
    <row r="2543" spans="1:6" ht="20.25">
      <c r="A2543" s="572"/>
      <c r="B2543" s="573"/>
      <c r="C2543" s="573"/>
      <c r="D2543" s="573"/>
      <c r="E2543" s="574"/>
      <c r="F2543" s="575"/>
    </row>
    <row r="2544" spans="1:6" ht="20.25">
      <c r="A2544" s="572"/>
      <c r="B2544" s="573"/>
      <c r="C2544" s="573"/>
      <c r="D2544" s="573"/>
      <c r="E2544" s="574"/>
      <c r="F2544" s="575"/>
    </row>
    <row r="2545" spans="1:6" ht="20.25">
      <c r="A2545" s="572"/>
      <c r="B2545" s="573"/>
      <c r="C2545" s="573"/>
      <c r="D2545" s="573"/>
      <c r="E2545" s="574"/>
      <c r="F2545" s="575"/>
    </row>
    <row r="2546" spans="1:6" ht="20.25">
      <c r="A2546" s="572"/>
      <c r="B2546" s="573"/>
      <c r="C2546" s="573"/>
      <c r="D2546" s="573"/>
      <c r="E2546" s="574"/>
      <c r="F2546" s="575"/>
    </row>
    <row r="2547" spans="1:6" ht="20.25">
      <c r="A2547" s="572"/>
      <c r="B2547" s="573"/>
      <c r="C2547" s="573"/>
      <c r="D2547" s="573"/>
      <c r="E2547" s="574"/>
      <c r="F2547" s="575"/>
    </row>
    <row r="2548" spans="1:6" ht="20.25">
      <c r="A2548" s="572"/>
      <c r="B2548" s="573"/>
      <c r="C2548" s="573"/>
      <c r="D2548" s="573"/>
      <c r="E2548" s="574"/>
      <c r="F2548" s="575"/>
    </row>
    <row r="2549" spans="1:6" ht="20.25">
      <c r="A2549" s="572"/>
      <c r="B2549" s="573"/>
      <c r="C2549" s="573"/>
      <c r="D2549" s="573"/>
      <c r="E2549" s="574"/>
      <c r="F2549" s="575"/>
    </row>
    <row r="2550" spans="1:6" ht="20.25">
      <c r="A2550" s="572"/>
      <c r="B2550" s="573"/>
      <c r="C2550" s="573"/>
      <c r="D2550" s="573"/>
      <c r="E2550" s="574"/>
      <c r="F2550" s="575"/>
    </row>
    <row r="2551" spans="1:6" ht="20.25">
      <c r="A2551" s="572"/>
      <c r="B2551" s="573"/>
      <c r="C2551" s="573"/>
      <c r="D2551" s="573"/>
      <c r="E2551" s="574"/>
      <c r="F2551" s="575"/>
    </row>
    <row r="2552" spans="1:6" ht="20.25">
      <c r="A2552" s="572"/>
      <c r="B2552" s="573"/>
      <c r="C2552" s="573"/>
      <c r="D2552" s="573"/>
      <c r="E2552" s="574"/>
      <c r="F2552" s="575"/>
    </row>
    <row r="2553" spans="1:6" ht="20.25">
      <c r="A2553" s="572"/>
      <c r="B2553" s="573"/>
      <c r="C2553" s="573"/>
      <c r="D2553" s="573"/>
      <c r="E2553" s="574"/>
      <c r="F2553" s="575"/>
    </row>
    <row r="2554" spans="1:6" ht="20.25">
      <c r="A2554" s="572"/>
      <c r="B2554" s="573"/>
      <c r="C2554" s="573"/>
      <c r="D2554" s="573"/>
      <c r="E2554" s="574"/>
      <c r="F2554" s="575"/>
    </row>
    <row r="2555" spans="1:6" ht="20.25">
      <c r="A2555" s="572"/>
      <c r="B2555" s="573"/>
      <c r="C2555" s="573"/>
      <c r="D2555" s="573"/>
      <c r="E2555" s="574"/>
      <c r="F2555" s="575"/>
    </row>
    <row r="2556" spans="1:6" ht="20.25">
      <c r="A2556" s="572"/>
      <c r="B2556" s="573"/>
      <c r="C2556" s="573"/>
      <c r="D2556" s="573"/>
      <c r="E2556" s="574"/>
      <c r="F2556" s="575"/>
    </row>
    <row r="2557" spans="1:6" ht="20.25">
      <c r="A2557" s="572"/>
      <c r="B2557" s="573"/>
      <c r="C2557" s="573"/>
      <c r="D2557" s="573"/>
      <c r="E2557" s="574"/>
      <c r="F2557" s="575"/>
    </row>
    <row r="2558" spans="1:6" ht="20.25">
      <c r="A2558" s="572"/>
      <c r="B2558" s="573"/>
      <c r="C2558" s="573"/>
      <c r="D2558" s="573"/>
      <c r="E2558" s="574"/>
      <c r="F2558" s="575"/>
    </row>
    <row r="2559" spans="1:6" ht="20.25">
      <c r="A2559" s="572"/>
      <c r="B2559" s="573"/>
      <c r="C2559" s="573"/>
      <c r="D2559" s="573"/>
      <c r="E2559" s="574"/>
      <c r="F2559" s="575"/>
    </row>
    <row r="2560" spans="1:6" ht="20.25">
      <c r="A2560" s="572"/>
      <c r="B2560" s="573"/>
      <c r="C2560" s="573"/>
      <c r="D2560" s="573"/>
      <c r="E2560" s="574"/>
      <c r="F2560" s="575"/>
    </row>
    <row r="2561" spans="1:6" ht="20.25">
      <c r="A2561" s="572"/>
      <c r="B2561" s="573"/>
      <c r="C2561" s="573"/>
      <c r="D2561" s="573"/>
      <c r="E2561" s="574"/>
      <c r="F2561" s="575"/>
    </row>
    <row r="2562" spans="1:6" ht="20.25">
      <c r="A2562" s="572"/>
      <c r="B2562" s="573"/>
      <c r="C2562" s="573"/>
      <c r="D2562" s="573"/>
      <c r="E2562" s="574"/>
      <c r="F2562" s="575"/>
    </row>
    <row r="2563" spans="1:6" ht="20.25">
      <c r="A2563" s="572"/>
      <c r="B2563" s="573"/>
      <c r="C2563" s="573"/>
      <c r="D2563" s="573"/>
      <c r="E2563" s="574"/>
      <c r="F2563" s="575"/>
    </row>
    <row r="2564" spans="1:6" ht="20.25">
      <c r="A2564" s="572"/>
      <c r="B2564" s="573"/>
      <c r="C2564" s="573"/>
      <c r="D2564" s="573"/>
      <c r="E2564" s="574"/>
      <c r="F2564" s="575"/>
    </row>
    <row r="2565" spans="1:6" ht="20.25">
      <c r="A2565" s="572"/>
      <c r="B2565" s="573"/>
      <c r="C2565" s="573"/>
      <c r="D2565" s="573"/>
      <c r="E2565" s="574"/>
      <c r="F2565" s="575"/>
    </row>
    <row r="2566" spans="1:6" ht="20.25">
      <c r="A2566" s="572"/>
      <c r="B2566" s="573"/>
      <c r="C2566" s="573"/>
      <c r="D2566" s="573"/>
      <c r="E2566" s="574"/>
      <c r="F2566" s="575"/>
    </row>
    <row r="2567" spans="1:6" ht="20.25">
      <c r="A2567" s="572"/>
      <c r="B2567" s="573"/>
      <c r="C2567" s="573"/>
      <c r="D2567" s="573"/>
      <c r="E2567" s="574"/>
      <c r="F2567" s="575"/>
    </row>
    <row r="2568" spans="1:6" ht="20.25">
      <c r="A2568" s="572"/>
      <c r="B2568" s="573"/>
      <c r="C2568" s="573"/>
      <c r="D2568" s="573"/>
      <c r="E2568" s="574"/>
      <c r="F2568" s="575"/>
    </row>
    <row r="2569" spans="1:6" ht="20.25">
      <c r="A2569" s="572"/>
      <c r="B2569" s="573"/>
      <c r="C2569" s="573"/>
      <c r="D2569" s="573"/>
      <c r="E2569" s="574"/>
      <c r="F2569" s="575"/>
    </row>
    <row r="2570" spans="1:6" ht="20.25">
      <c r="A2570" s="572"/>
      <c r="B2570" s="573"/>
      <c r="C2570" s="573"/>
      <c r="D2570" s="573"/>
      <c r="E2570" s="574"/>
      <c r="F2570" s="575"/>
    </row>
    <row r="2571" spans="1:6" ht="20.25">
      <c r="A2571" s="572"/>
      <c r="B2571" s="573"/>
      <c r="C2571" s="573"/>
      <c r="D2571" s="573"/>
      <c r="E2571" s="574"/>
      <c r="F2571" s="575"/>
    </row>
    <row r="2572" spans="1:6" ht="20.25">
      <c r="A2572" s="572"/>
      <c r="B2572" s="573"/>
      <c r="C2572" s="573"/>
      <c r="D2572" s="573"/>
      <c r="E2572" s="574"/>
      <c r="F2572" s="575"/>
    </row>
    <row r="2573" spans="1:6" ht="20.25">
      <c r="A2573" s="572"/>
      <c r="B2573" s="573"/>
      <c r="C2573" s="573"/>
      <c r="D2573" s="573"/>
      <c r="E2573" s="574"/>
      <c r="F2573" s="575"/>
    </row>
    <row r="2574" spans="1:6" ht="20.25">
      <c r="A2574" s="572"/>
      <c r="B2574" s="573"/>
      <c r="C2574" s="573"/>
      <c r="D2574" s="573"/>
      <c r="E2574" s="574"/>
      <c r="F2574" s="575"/>
    </row>
    <row r="2575" spans="1:6" ht="20.25">
      <c r="A2575" s="572"/>
      <c r="B2575" s="573"/>
      <c r="C2575" s="573"/>
      <c r="D2575" s="573"/>
      <c r="E2575" s="574"/>
      <c r="F2575" s="575"/>
    </row>
    <row r="2576" spans="1:6" ht="20.25">
      <c r="A2576" s="572"/>
      <c r="B2576" s="573"/>
      <c r="C2576" s="573"/>
      <c r="D2576" s="573"/>
      <c r="E2576" s="574"/>
      <c r="F2576" s="575"/>
    </row>
    <row r="2577" spans="1:6" ht="20.25">
      <c r="A2577" s="572"/>
      <c r="B2577" s="573"/>
      <c r="C2577" s="573"/>
      <c r="D2577" s="573"/>
      <c r="E2577" s="574"/>
      <c r="F2577" s="575"/>
    </row>
    <row r="2578" spans="1:6" ht="20.25">
      <c r="A2578" s="572"/>
      <c r="B2578" s="573"/>
      <c r="C2578" s="573"/>
      <c r="D2578" s="573"/>
      <c r="E2578" s="574"/>
      <c r="F2578" s="575"/>
    </row>
    <row r="2579" spans="1:6" ht="20.25">
      <c r="A2579" s="572"/>
      <c r="B2579" s="573"/>
      <c r="C2579" s="573"/>
      <c r="D2579" s="573"/>
      <c r="E2579" s="574"/>
      <c r="F2579" s="575"/>
    </row>
    <row r="2580" spans="1:6" ht="20.25">
      <c r="A2580" s="572"/>
      <c r="B2580" s="573"/>
      <c r="C2580" s="573"/>
      <c r="D2580" s="573"/>
      <c r="E2580" s="574"/>
      <c r="F2580" s="575"/>
    </row>
    <row r="2581" spans="1:6" ht="20.25">
      <c r="A2581" s="572"/>
      <c r="B2581" s="573"/>
      <c r="C2581" s="573"/>
      <c r="D2581" s="573"/>
      <c r="E2581" s="574"/>
      <c r="F2581" s="575"/>
    </row>
    <row r="2582" spans="1:6" ht="20.25">
      <c r="A2582" s="572"/>
      <c r="B2582" s="573"/>
      <c r="C2582" s="573"/>
      <c r="D2582" s="573"/>
      <c r="E2582" s="574"/>
      <c r="F2582" s="575"/>
    </row>
    <row r="2583" spans="1:6" ht="20.25">
      <c r="A2583" s="572"/>
      <c r="B2583" s="573"/>
      <c r="C2583" s="573"/>
      <c r="D2583" s="573"/>
      <c r="E2583" s="574"/>
      <c r="F2583" s="575"/>
    </row>
    <row r="2584" spans="1:6" ht="20.25">
      <c r="A2584" s="572"/>
      <c r="B2584" s="573"/>
      <c r="C2584" s="573"/>
      <c r="D2584" s="573"/>
      <c r="E2584" s="574"/>
      <c r="F2584" s="575"/>
    </row>
    <row r="2585" spans="1:6" ht="20.25">
      <c r="A2585" s="572"/>
      <c r="B2585" s="573"/>
      <c r="C2585" s="573"/>
      <c r="D2585" s="573"/>
      <c r="E2585" s="574"/>
      <c r="F2585" s="575"/>
    </row>
    <row r="2586" spans="1:6" ht="20.25">
      <c r="A2586" s="572"/>
      <c r="B2586" s="573"/>
      <c r="C2586" s="573"/>
      <c r="D2586" s="573"/>
      <c r="E2586" s="574"/>
      <c r="F2586" s="575"/>
    </row>
    <row r="2587" spans="1:6" ht="20.25">
      <c r="A2587" s="572"/>
      <c r="B2587" s="573"/>
      <c r="C2587" s="573"/>
      <c r="D2587" s="573"/>
      <c r="E2587" s="574"/>
      <c r="F2587" s="575"/>
    </row>
    <row r="2588" spans="1:6" ht="20.25">
      <c r="A2588" s="572"/>
      <c r="B2588" s="573"/>
      <c r="C2588" s="573"/>
      <c r="D2588" s="573"/>
      <c r="E2588" s="574"/>
      <c r="F2588" s="575"/>
    </row>
    <row r="2589" spans="1:6" ht="20.25">
      <c r="A2589" s="572"/>
      <c r="B2589" s="573"/>
      <c r="C2589" s="573"/>
      <c r="D2589" s="573"/>
      <c r="E2589" s="574"/>
      <c r="F2589" s="575"/>
    </row>
    <row r="2590" spans="1:6" ht="20.25">
      <c r="A2590" s="572"/>
      <c r="B2590" s="573"/>
      <c r="C2590" s="573"/>
      <c r="D2590" s="573"/>
      <c r="E2590" s="574"/>
      <c r="F2590" s="575"/>
    </row>
    <row r="2591" spans="1:6" ht="20.25">
      <c r="A2591" s="572"/>
      <c r="B2591" s="573"/>
      <c r="C2591" s="573"/>
      <c r="D2591" s="573"/>
      <c r="E2591" s="574"/>
      <c r="F2591" s="575"/>
    </row>
    <row r="2592" spans="1:6" ht="20.25">
      <c r="A2592" s="572"/>
      <c r="B2592" s="573"/>
      <c r="C2592" s="573"/>
      <c r="D2592" s="573"/>
      <c r="E2592" s="574"/>
      <c r="F2592" s="575"/>
    </row>
    <row r="2593" spans="1:6" ht="20.25">
      <c r="A2593" s="572"/>
      <c r="B2593" s="573"/>
      <c r="C2593" s="573"/>
      <c r="D2593" s="573"/>
      <c r="E2593" s="574"/>
      <c r="F2593" s="575"/>
    </row>
    <row r="2594" spans="1:6" ht="20.25">
      <c r="A2594" s="572"/>
      <c r="B2594" s="573"/>
      <c r="C2594" s="573"/>
      <c r="D2594" s="573"/>
      <c r="E2594" s="574"/>
      <c r="F2594" s="575"/>
    </row>
    <row r="2595" spans="1:6" ht="20.25">
      <c r="A2595" s="572"/>
      <c r="B2595" s="573"/>
      <c r="C2595" s="573"/>
      <c r="D2595" s="573"/>
      <c r="E2595" s="574"/>
      <c r="F2595" s="575"/>
    </row>
    <row r="2596" spans="1:6" ht="20.25">
      <c r="A2596" s="572"/>
      <c r="B2596" s="573"/>
      <c r="C2596" s="573"/>
      <c r="D2596" s="573"/>
      <c r="E2596" s="574"/>
      <c r="F2596" s="575"/>
    </row>
    <row r="2597" spans="1:6" ht="20.25">
      <c r="A2597" s="572"/>
      <c r="B2597" s="573"/>
      <c r="C2597" s="573"/>
      <c r="D2597" s="573"/>
      <c r="E2597" s="574"/>
      <c r="F2597" s="575"/>
    </row>
    <row r="2598" spans="1:6" ht="20.25">
      <c r="A2598" s="572"/>
      <c r="B2598" s="573"/>
      <c r="C2598" s="573"/>
      <c r="D2598" s="573"/>
      <c r="E2598" s="574"/>
      <c r="F2598" s="575"/>
    </row>
    <row r="2599" spans="1:6" ht="20.25">
      <c r="A2599" s="572"/>
      <c r="B2599" s="573"/>
      <c r="C2599" s="573"/>
      <c r="D2599" s="573"/>
      <c r="E2599" s="574"/>
      <c r="F2599" s="575"/>
    </row>
    <row r="2600" spans="1:6" ht="20.25">
      <c r="A2600" s="572"/>
      <c r="B2600" s="573"/>
      <c r="C2600" s="573"/>
      <c r="D2600" s="573"/>
      <c r="E2600" s="574"/>
      <c r="F2600" s="575"/>
    </row>
    <row r="2601" spans="1:6" ht="20.25">
      <c r="A2601" s="572"/>
      <c r="B2601" s="573"/>
      <c r="C2601" s="573"/>
      <c r="D2601" s="573"/>
      <c r="E2601" s="574"/>
      <c r="F2601" s="575"/>
    </row>
    <row r="2602" spans="1:6" ht="20.25">
      <c r="A2602" s="572"/>
      <c r="B2602" s="573"/>
      <c r="C2602" s="573"/>
      <c r="D2602" s="573"/>
      <c r="E2602" s="574"/>
      <c r="F2602" s="575"/>
    </row>
    <row r="2603" spans="1:6" ht="20.25">
      <c r="A2603" s="572"/>
      <c r="B2603" s="573"/>
      <c r="C2603" s="573"/>
      <c r="D2603" s="573"/>
      <c r="E2603" s="574"/>
      <c r="F2603" s="575"/>
    </row>
    <row r="2604" spans="1:6" ht="20.25">
      <c r="A2604" s="572"/>
      <c r="B2604" s="573"/>
      <c r="C2604" s="573"/>
      <c r="D2604" s="573"/>
      <c r="E2604" s="574"/>
      <c r="F2604" s="575"/>
    </row>
    <row r="2605" spans="1:6" ht="20.25">
      <c r="A2605" s="572"/>
      <c r="B2605" s="573"/>
      <c r="C2605" s="573"/>
      <c r="D2605" s="573"/>
      <c r="E2605" s="574"/>
      <c r="F2605" s="575"/>
    </row>
    <row r="2606" spans="1:6" ht="20.25">
      <c r="A2606" s="572"/>
      <c r="B2606" s="573"/>
      <c r="C2606" s="573"/>
      <c r="D2606" s="573"/>
      <c r="E2606" s="574"/>
      <c r="F2606" s="575"/>
    </row>
    <row r="2607" spans="1:6" ht="20.25">
      <c r="A2607" s="572"/>
      <c r="B2607" s="573"/>
      <c r="C2607" s="573"/>
      <c r="D2607" s="573"/>
      <c r="E2607" s="574"/>
      <c r="F2607" s="575"/>
    </row>
    <row r="2608" spans="1:6" ht="20.25">
      <c r="A2608" s="572"/>
      <c r="B2608" s="573"/>
      <c r="C2608" s="573"/>
      <c r="D2608" s="573"/>
      <c r="E2608" s="574"/>
      <c r="F2608" s="575"/>
    </row>
    <row r="2609" spans="1:6" ht="20.25">
      <c r="A2609" s="572"/>
      <c r="B2609" s="573"/>
      <c r="C2609" s="573"/>
      <c r="D2609" s="573"/>
      <c r="E2609" s="574"/>
      <c r="F2609" s="575"/>
    </row>
    <row r="2610" spans="1:6" ht="20.25">
      <c r="A2610" s="572"/>
      <c r="B2610" s="573"/>
      <c r="C2610" s="573"/>
      <c r="D2610" s="573"/>
      <c r="E2610" s="574"/>
      <c r="F2610" s="575"/>
    </row>
    <row r="2611" spans="1:6" ht="20.25">
      <c r="A2611" s="572"/>
      <c r="B2611" s="573"/>
      <c r="C2611" s="573"/>
      <c r="D2611" s="573"/>
      <c r="E2611" s="574"/>
      <c r="F2611" s="575"/>
    </row>
    <row r="2612" spans="1:6" ht="20.25">
      <c r="A2612" s="572"/>
      <c r="B2612" s="573"/>
      <c r="C2612" s="573"/>
      <c r="D2612" s="573"/>
      <c r="E2612" s="574"/>
      <c r="F2612" s="575"/>
    </row>
    <row r="2613" spans="1:6" ht="20.25">
      <c r="A2613" s="572"/>
      <c r="B2613" s="573"/>
      <c r="C2613" s="573"/>
      <c r="D2613" s="573"/>
      <c r="E2613" s="574"/>
      <c r="F2613" s="575"/>
    </row>
    <row r="2614" spans="1:6" ht="20.25">
      <c r="A2614" s="572"/>
      <c r="B2614" s="573"/>
      <c r="C2614" s="573"/>
      <c r="D2614" s="573"/>
      <c r="E2614" s="574"/>
      <c r="F2614" s="575"/>
    </row>
    <row r="2615" spans="1:6" ht="20.25">
      <c r="A2615" s="572"/>
      <c r="B2615" s="573"/>
      <c r="C2615" s="573"/>
      <c r="D2615" s="573"/>
      <c r="E2615" s="574"/>
      <c r="F2615" s="575"/>
    </row>
    <row r="2616" spans="1:6" ht="20.25">
      <c r="A2616" s="572"/>
      <c r="B2616" s="573"/>
      <c r="C2616" s="573"/>
      <c r="D2616" s="573"/>
      <c r="E2616" s="574"/>
      <c r="F2616" s="575"/>
    </row>
    <row r="2617" spans="1:6" ht="20.25">
      <c r="A2617" s="572"/>
      <c r="B2617" s="573"/>
      <c r="C2617" s="573"/>
      <c r="D2617" s="573"/>
      <c r="E2617" s="574"/>
      <c r="F2617" s="575"/>
    </row>
    <row r="2618" spans="1:6" ht="20.25">
      <c r="A2618" s="572"/>
      <c r="B2618" s="573"/>
      <c r="C2618" s="573"/>
      <c r="D2618" s="573"/>
      <c r="E2618" s="574"/>
      <c r="F2618" s="575"/>
    </row>
    <row r="2619" spans="1:6" ht="20.25">
      <c r="A2619" s="572"/>
      <c r="B2619" s="573"/>
      <c r="C2619" s="573"/>
      <c r="D2619" s="573"/>
      <c r="E2619" s="574"/>
      <c r="F2619" s="575"/>
    </row>
    <row r="2620" spans="1:6" ht="20.25">
      <c r="A2620" s="572"/>
      <c r="B2620" s="573"/>
      <c r="C2620" s="573"/>
      <c r="D2620" s="573"/>
      <c r="E2620" s="574"/>
      <c r="F2620" s="575"/>
    </row>
    <row r="2621" spans="1:6" ht="20.25">
      <c r="A2621" s="572"/>
      <c r="B2621" s="573"/>
      <c r="C2621" s="573"/>
      <c r="D2621" s="573"/>
      <c r="E2621" s="574"/>
      <c r="F2621" s="575"/>
    </row>
    <row r="2622" spans="1:6" ht="20.25">
      <c r="A2622" s="572"/>
      <c r="B2622" s="573"/>
      <c r="C2622" s="573"/>
      <c r="D2622" s="573"/>
      <c r="E2622" s="574"/>
      <c r="F2622" s="575"/>
    </row>
    <row r="2623" spans="1:6" ht="20.25">
      <c r="A2623" s="572"/>
      <c r="B2623" s="573"/>
      <c r="C2623" s="573"/>
      <c r="D2623" s="573"/>
      <c r="E2623" s="574"/>
      <c r="F2623" s="575"/>
    </row>
    <row r="2624" spans="1:6" ht="20.25">
      <c r="A2624" s="572"/>
      <c r="B2624" s="573"/>
      <c r="C2624" s="573"/>
      <c r="D2624" s="573"/>
      <c r="E2624" s="574"/>
      <c r="F2624" s="575"/>
    </row>
    <row r="2625" spans="1:6" ht="20.25">
      <c r="A2625" s="572"/>
      <c r="B2625" s="573"/>
      <c r="C2625" s="573"/>
      <c r="D2625" s="573"/>
      <c r="E2625" s="574"/>
      <c r="F2625" s="575"/>
    </row>
    <row r="2626" spans="1:6" ht="20.25">
      <c r="A2626" s="572"/>
      <c r="B2626" s="573"/>
      <c r="C2626" s="573"/>
      <c r="D2626" s="573"/>
      <c r="E2626" s="574"/>
      <c r="F2626" s="575"/>
    </row>
    <row r="2627" spans="1:6" ht="20.25">
      <c r="A2627" s="572"/>
      <c r="B2627" s="573"/>
      <c r="C2627" s="573"/>
      <c r="D2627" s="573"/>
      <c r="E2627" s="574"/>
      <c r="F2627" s="575"/>
    </row>
    <row r="2628" spans="1:6" ht="20.25">
      <c r="A2628" s="572"/>
      <c r="B2628" s="573"/>
      <c r="C2628" s="573"/>
      <c r="D2628" s="573"/>
      <c r="E2628" s="574"/>
      <c r="F2628" s="575"/>
    </row>
    <row r="2629" spans="1:6" ht="20.25">
      <c r="A2629" s="572"/>
      <c r="B2629" s="573"/>
      <c r="C2629" s="573"/>
      <c r="D2629" s="573"/>
      <c r="E2629" s="574"/>
      <c r="F2629" s="575"/>
    </row>
    <row r="2630" spans="1:6" ht="20.25">
      <c r="A2630" s="572"/>
      <c r="B2630" s="573"/>
      <c r="C2630" s="573"/>
      <c r="D2630" s="573"/>
      <c r="E2630" s="574"/>
      <c r="F2630" s="575"/>
    </row>
    <row r="2631" spans="1:6" ht="20.25">
      <c r="A2631" s="572"/>
      <c r="B2631" s="573"/>
      <c r="C2631" s="573"/>
      <c r="D2631" s="573"/>
      <c r="E2631" s="574"/>
      <c r="F2631" s="575"/>
    </row>
    <row r="2632" spans="1:6" ht="20.25">
      <c r="A2632" s="572"/>
      <c r="B2632" s="573"/>
      <c r="C2632" s="573"/>
      <c r="D2632" s="573"/>
      <c r="E2632" s="574"/>
      <c r="F2632" s="575"/>
    </row>
    <row r="2633" spans="1:6" ht="20.25">
      <c r="A2633" s="572"/>
      <c r="B2633" s="573"/>
      <c r="C2633" s="573"/>
      <c r="D2633" s="573"/>
      <c r="E2633" s="574"/>
      <c r="F2633" s="575"/>
    </row>
    <row r="2634" spans="1:6" ht="20.25">
      <c r="A2634" s="572"/>
      <c r="B2634" s="573"/>
      <c r="C2634" s="573"/>
      <c r="D2634" s="573"/>
      <c r="E2634" s="574"/>
      <c r="F2634" s="575"/>
    </row>
    <row r="2635" spans="1:6" ht="20.25">
      <c r="A2635" s="572"/>
      <c r="B2635" s="573"/>
      <c r="C2635" s="573"/>
      <c r="D2635" s="573"/>
      <c r="E2635" s="574"/>
      <c r="F2635" s="575"/>
    </row>
    <row r="2636" spans="1:6" ht="20.25">
      <c r="A2636" s="572"/>
      <c r="B2636" s="573"/>
      <c r="C2636" s="573"/>
      <c r="D2636" s="573"/>
      <c r="E2636" s="574"/>
      <c r="F2636" s="575"/>
    </row>
    <row r="2637" spans="1:6" ht="20.25">
      <c r="A2637" s="572"/>
      <c r="B2637" s="573"/>
      <c r="C2637" s="573"/>
      <c r="D2637" s="573"/>
      <c r="E2637" s="574"/>
      <c r="F2637" s="575"/>
    </row>
    <row r="2638" spans="1:6" ht="20.25">
      <c r="A2638" s="572"/>
      <c r="B2638" s="573"/>
      <c r="C2638" s="573"/>
      <c r="D2638" s="573"/>
      <c r="E2638" s="574"/>
      <c r="F2638" s="575"/>
    </row>
    <row r="2639" spans="1:6" ht="20.25">
      <c r="A2639" s="572"/>
      <c r="B2639" s="573"/>
      <c r="C2639" s="573"/>
      <c r="D2639" s="573"/>
      <c r="E2639" s="574"/>
      <c r="F2639" s="575"/>
    </row>
    <row r="2640" spans="1:6" ht="20.25">
      <c r="A2640" s="572"/>
      <c r="B2640" s="573"/>
      <c r="C2640" s="573"/>
      <c r="D2640" s="573"/>
      <c r="E2640" s="574"/>
      <c r="F2640" s="575"/>
    </row>
    <row r="2641" spans="1:6" ht="20.25">
      <c r="A2641" s="572"/>
      <c r="B2641" s="573"/>
      <c r="C2641" s="573"/>
      <c r="D2641" s="573"/>
      <c r="E2641" s="574"/>
      <c r="F2641" s="575"/>
    </row>
    <row r="2642" spans="1:6" ht="20.25">
      <c r="A2642" s="572"/>
      <c r="B2642" s="573"/>
      <c r="C2642" s="573"/>
      <c r="D2642" s="573"/>
      <c r="E2642" s="574"/>
      <c r="F2642" s="575"/>
    </row>
    <row r="2643" spans="1:6" ht="20.25">
      <c r="A2643" s="572"/>
      <c r="B2643" s="573"/>
      <c r="C2643" s="573"/>
      <c r="D2643" s="573"/>
      <c r="E2643" s="574"/>
      <c r="F2643" s="575"/>
    </row>
    <row r="2644" spans="1:6" ht="20.25">
      <c r="A2644" s="572"/>
      <c r="B2644" s="573"/>
      <c r="C2644" s="573"/>
      <c r="D2644" s="573"/>
      <c r="E2644" s="574"/>
      <c r="F2644" s="575"/>
    </row>
    <row r="2645" spans="1:6" ht="20.25">
      <c r="A2645" s="572"/>
      <c r="B2645" s="573"/>
      <c r="C2645" s="573"/>
      <c r="D2645" s="573"/>
      <c r="E2645" s="574"/>
      <c r="F2645" s="575"/>
    </row>
    <row r="2646" spans="1:6" ht="20.25">
      <c r="A2646" s="572"/>
      <c r="B2646" s="573"/>
      <c r="C2646" s="573"/>
      <c r="D2646" s="573"/>
      <c r="E2646" s="574"/>
      <c r="F2646" s="575"/>
    </row>
    <row r="2647" spans="1:6" ht="20.25">
      <c r="A2647" s="572"/>
      <c r="B2647" s="573"/>
      <c r="C2647" s="573"/>
      <c r="D2647" s="573"/>
      <c r="E2647" s="574"/>
      <c r="F2647" s="575"/>
    </row>
    <row r="2648" spans="1:6" ht="20.25">
      <c r="A2648" s="572"/>
      <c r="B2648" s="573"/>
      <c r="C2648" s="573"/>
      <c r="D2648" s="573"/>
      <c r="E2648" s="574"/>
      <c r="F2648" s="575"/>
    </row>
    <row r="2649" spans="1:6" ht="20.25">
      <c r="A2649" s="572"/>
      <c r="B2649" s="573"/>
      <c r="C2649" s="573"/>
      <c r="D2649" s="573"/>
      <c r="E2649" s="574"/>
      <c r="F2649" s="575"/>
    </row>
    <row r="2650" spans="1:6" ht="20.25">
      <c r="A2650" s="572"/>
      <c r="B2650" s="573"/>
      <c r="C2650" s="573"/>
      <c r="D2650" s="573"/>
      <c r="E2650" s="574"/>
      <c r="F2650" s="575"/>
    </row>
    <row r="2651" spans="1:6" ht="20.25">
      <c r="A2651" s="572"/>
      <c r="B2651" s="573"/>
      <c r="C2651" s="573"/>
      <c r="D2651" s="573"/>
      <c r="E2651" s="574"/>
      <c r="F2651" s="575"/>
    </row>
    <row r="2652" spans="1:6" ht="20.25">
      <c r="A2652" s="572"/>
      <c r="B2652" s="573"/>
      <c r="C2652" s="573"/>
      <c r="D2652" s="573"/>
      <c r="E2652" s="574"/>
      <c r="F2652" s="575"/>
    </row>
    <row r="2653" spans="1:6" ht="20.25">
      <c r="A2653" s="572"/>
      <c r="B2653" s="573"/>
      <c r="C2653" s="573"/>
      <c r="D2653" s="573"/>
      <c r="E2653" s="574"/>
      <c r="F2653" s="575"/>
    </row>
    <row r="2654" spans="1:6" ht="20.25">
      <c r="A2654" s="572"/>
      <c r="B2654" s="573"/>
      <c r="C2654" s="573"/>
      <c r="D2654" s="573"/>
      <c r="E2654" s="574"/>
      <c r="F2654" s="575"/>
    </row>
    <row r="2655" spans="1:6" ht="20.25">
      <c r="A2655" s="572"/>
      <c r="B2655" s="573"/>
      <c r="C2655" s="573"/>
      <c r="D2655" s="573"/>
      <c r="E2655" s="574"/>
      <c r="F2655" s="575"/>
    </row>
    <row r="2656" spans="1:6" ht="20.25">
      <c r="A2656" s="572"/>
      <c r="B2656" s="573"/>
      <c r="C2656" s="573"/>
      <c r="D2656" s="573"/>
      <c r="E2656" s="574"/>
      <c r="F2656" s="575"/>
    </row>
    <row r="2657" spans="1:6" ht="20.25">
      <c r="A2657" s="572"/>
      <c r="B2657" s="573"/>
      <c r="C2657" s="573"/>
      <c r="D2657" s="573"/>
      <c r="E2657" s="574"/>
      <c r="F2657" s="575"/>
    </row>
    <row r="2658" spans="1:6" ht="20.25">
      <c r="A2658" s="572"/>
      <c r="B2658" s="573"/>
      <c r="C2658" s="573"/>
      <c r="D2658" s="573"/>
      <c r="E2658" s="574"/>
      <c r="F2658" s="575"/>
    </row>
    <row r="2659" spans="1:6" ht="20.25">
      <c r="A2659" s="572"/>
      <c r="B2659" s="573"/>
      <c r="C2659" s="573"/>
      <c r="D2659" s="573"/>
      <c r="E2659" s="574"/>
      <c r="F2659" s="575"/>
    </row>
    <row r="2660" spans="1:6" ht="20.25">
      <c r="A2660" s="572"/>
      <c r="B2660" s="573"/>
      <c r="C2660" s="573"/>
      <c r="D2660" s="573"/>
      <c r="E2660" s="574"/>
      <c r="F2660" s="575"/>
    </row>
    <row r="2661" spans="1:6" ht="20.25">
      <c r="A2661" s="572"/>
      <c r="B2661" s="573"/>
      <c r="C2661" s="573"/>
      <c r="D2661" s="573"/>
      <c r="E2661" s="574"/>
      <c r="F2661" s="575"/>
    </row>
    <row r="2662" spans="1:6" ht="20.25">
      <c r="A2662" s="572"/>
      <c r="B2662" s="573"/>
      <c r="C2662" s="573"/>
      <c r="D2662" s="573"/>
      <c r="E2662" s="574"/>
      <c r="F2662" s="575"/>
    </row>
    <row r="2663" spans="1:6" ht="20.25">
      <c r="A2663" s="572"/>
      <c r="B2663" s="573"/>
      <c r="C2663" s="573"/>
      <c r="D2663" s="573"/>
      <c r="E2663" s="574"/>
      <c r="F2663" s="575"/>
    </row>
    <row r="2664" spans="1:6" ht="20.25">
      <c r="A2664" s="572"/>
      <c r="B2664" s="573"/>
      <c r="C2664" s="573"/>
      <c r="D2664" s="573"/>
      <c r="E2664" s="574"/>
      <c r="F2664" s="575"/>
    </row>
    <row r="2665" spans="1:6" ht="20.25">
      <c r="A2665" s="572"/>
      <c r="B2665" s="573"/>
      <c r="C2665" s="573"/>
      <c r="D2665" s="573"/>
      <c r="E2665" s="574"/>
      <c r="F2665" s="575"/>
    </row>
    <row r="2666" spans="1:6" ht="20.25">
      <c r="A2666" s="572"/>
      <c r="B2666" s="573"/>
      <c r="C2666" s="573"/>
      <c r="D2666" s="573"/>
      <c r="E2666" s="574"/>
      <c r="F2666" s="575"/>
    </row>
    <row r="2667" spans="1:6" ht="20.25">
      <c r="A2667" s="572"/>
      <c r="B2667" s="573"/>
      <c r="C2667" s="573"/>
      <c r="D2667" s="573"/>
      <c r="E2667" s="574"/>
      <c r="F2667" s="575"/>
    </row>
    <row r="2668" spans="1:6" ht="20.25">
      <c r="A2668" s="572"/>
      <c r="B2668" s="573"/>
      <c r="C2668" s="573"/>
      <c r="D2668" s="573"/>
      <c r="E2668" s="574"/>
      <c r="F2668" s="575"/>
    </row>
    <row r="2669" spans="1:6" ht="20.25">
      <c r="A2669" s="572"/>
      <c r="B2669" s="573"/>
      <c r="C2669" s="573"/>
      <c r="D2669" s="573"/>
      <c r="E2669" s="574"/>
      <c r="F2669" s="575"/>
    </row>
    <row r="2670" spans="1:6" ht="20.25">
      <c r="A2670" s="572"/>
      <c r="B2670" s="573"/>
      <c r="C2670" s="573"/>
      <c r="D2670" s="573"/>
      <c r="E2670" s="574"/>
      <c r="F2670" s="575"/>
    </row>
    <row r="2671" spans="1:6" ht="20.25">
      <c r="A2671" s="572"/>
      <c r="B2671" s="573"/>
      <c r="C2671" s="573"/>
      <c r="D2671" s="573"/>
      <c r="E2671" s="574"/>
      <c r="F2671" s="575"/>
    </row>
    <row r="2672" spans="1:6" ht="20.25">
      <c r="A2672" s="572"/>
      <c r="B2672" s="573"/>
      <c r="C2672" s="573"/>
      <c r="D2672" s="573"/>
      <c r="E2672" s="574"/>
      <c r="F2672" s="575"/>
    </row>
    <row r="2673" spans="1:6" ht="20.25">
      <c r="A2673" s="572"/>
      <c r="B2673" s="573"/>
      <c r="C2673" s="573"/>
      <c r="D2673" s="573"/>
      <c r="E2673" s="574"/>
      <c r="F2673" s="575"/>
    </row>
    <row r="2674" spans="1:6" ht="20.25">
      <c r="A2674" s="572"/>
      <c r="B2674" s="573"/>
      <c r="C2674" s="573"/>
      <c r="D2674" s="573"/>
      <c r="E2674" s="574"/>
      <c r="F2674" s="575"/>
    </row>
    <row r="2675" spans="1:6" ht="20.25">
      <c r="A2675" s="572"/>
      <c r="B2675" s="573"/>
      <c r="C2675" s="573"/>
      <c r="D2675" s="573"/>
      <c r="E2675" s="574"/>
      <c r="F2675" s="575"/>
    </row>
    <row r="2676" spans="1:6" ht="20.25">
      <c r="A2676" s="572"/>
      <c r="B2676" s="573"/>
      <c r="C2676" s="573"/>
      <c r="D2676" s="573"/>
      <c r="E2676" s="574"/>
      <c r="F2676" s="575"/>
    </row>
    <row r="2677" spans="1:6" ht="20.25">
      <c r="A2677" s="572"/>
      <c r="B2677" s="573"/>
      <c r="C2677" s="573"/>
      <c r="D2677" s="573"/>
      <c r="E2677" s="574"/>
      <c r="F2677" s="575"/>
    </row>
    <row r="2678" spans="1:6" ht="20.25">
      <c r="A2678" s="572"/>
      <c r="B2678" s="573"/>
      <c r="C2678" s="573"/>
      <c r="D2678" s="573"/>
      <c r="E2678" s="574"/>
      <c r="F2678" s="575"/>
    </row>
    <row r="2679" spans="1:6" ht="20.25">
      <c r="A2679" s="572"/>
      <c r="B2679" s="573"/>
      <c r="C2679" s="573"/>
      <c r="D2679" s="573"/>
      <c r="E2679" s="574"/>
      <c r="F2679" s="575"/>
    </row>
    <row r="2680" spans="1:6" ht="20.25">
      <c r="A2680" s="572"/>
      <c r="B2680" s="573"/>
      <c r="C2680" s="573"/>
      <c r="D2680" s="573"/>
      <c r="E2680" s="574"/>
      <c r="F2680" s="575"/>
    </row>
    <row r="2681" spans="1:6" ht="20.25">
      <c r="A2681" s="572"/>
      <c r="B2681" s="573"/>
      <c r="C2681" s="573"/>
      <c r="D2681" s="573"/>
      <c r="E2681" s="574"/>
      <c r="F2681" s="575"/>
    </row>
    <row r="2682" spans="1:6" ht="20.25">
      <c r="A2682" s="572"/>
      <c r="B2682" s="573"/>
      <c r="C2682" s="573"/>
      <c r="D2682" s="573"/>
      <c r="E2682" s="574"/>
      <c r="F2682" s="575"/>
    </row>
    <row r="2683" spans="1:6" ht="20.25">
      <c r="A2683" s="572"/>
      <c r="B2683" s="573"/>
      <c r="C2683" s="573"/>
      <c r="D2683" s="573"/>
      <c r="E2683" s="574"/>
      <c r="F2683" s="575"/>
    </row>
    <row r="2684" spans="1:6" ht="20.25">
      <c r="A2684" s="572"/>
      <c r="B2684" s="573"/>
      <c r="C2684" s="573"/>
      <c r="D2684" s="573"/>
      <c r="E2684" s="574"/>
      <c r="F2684" s="575"/>
    </row>
    <row r="2685" spans="1:6" ht="20.25">
      <c r="A2685" s="572"/>
      <c r="B2685" s="573"/>
      <c r="C2685" s="573"/>
      <c r="D2685" s="573"/>
      <c r="E2685" s="574"/>
      <c r="F2685" s="575"/>
    </row>
    <row r="2686" spans="1:6" ht="20.25">
      <c r="A2686" s="572"/>
      <c r="B2686" s="573"/>
      <c r="C2686" s="573"/>
      <c r="D2686" s="573"/>
      <c r="E2686" s="574"/>
      <c r="F2686" s="575"/>
    </row>
    <row r="2687" spans="1:6" ht="20.25">
      <c r="A2687" s="572"/>
      <c r="B2687" s="573"/>
      <c r="C2687" s="573"/>
      <c r="D2687" s="573"/>
      <c r="E2687" s="574"/>
      <c r="F2687" s="575"/>
    </row>
    <row r="2688" spans="1:6" ht="20.25">
      <c r="A2688" s="572"/>
      <c r="B2688" s="573"/>
      <c r="C2688" s="573"/>
      <c r="D2688" s="573"/>
      <c r="E2688" s="574"/>
      <c r="F2688" s="575"/>
    </row>
    <row r="2689" spans="1:6" ht="20.25">
      <c r="A2689" s="572"/>
      <c r="B2689" s="573"/>
      <c r="C2689" s="573"/>
      <c r="D2689" s="573"/>
      <c r="E2689" s="574"/>
      <c r="F2689" s="575"/>
    </row>
    <row r="2690" spans="1:6" ht="20.25">
      <c r="A2690" s="572"/>
      <c r="B2690" s="573"/>
      <c r="C2690" s="573"/>
      <c r="D2690" s="573"/>
      <c r="E2690" s="574"/>
      <c r="F2690" s="575"/>
    </row>
    <row r="2691" spans="1:6" ht="20.25">
      <c r="A2691" s="572"/>
      <c r="B2691" s="573"/>
      <c r="C2691" s="573"/>
      <c r="D2691" s="573"/>
      <c r="E2691" s="574"/>
      <c r="F2691" s="575"/>
    </row>
    <row r="2692" spans="1:6" ht="20.25">
      <c r="A2692" s="572"/>
      <c r="B2692" s="573"/>
      <c r="C2692" s="573"/>
      <c r="D2692" s="573"/>
      <c r="E2692" s="574"/>
      <c r="F2692" s="575"/>
    </row>
    <row r="2693" spans="1:6" ht="20.25">
      <c r="A2693" s="572"/>
      <c r="B2693" s="573"/>
      <c r="C2693" s="573"/>
      <c r="D2693" s="573"/>
      <c r="E2693" s="574"/>
      <c r="F2693" s="575"/>
    </row>
    <row r="2694" spans="1:6" ht="20.25">
      <c r="A2694" s="572"/>
      <c r="B2694" s="573"/>
      <c r="C2694" s="573"/>
      <c r="D2694" s="573"/>
      <c r="E2694" s="574"/>
      <c r="F2694" s="575"/>
    </row>
    <row r="2695" spans="1:6" ht="20.25">
      <c r="A2695" s="572"/>
      <c r="B2695" s="573"/>
      <c r="C2695" s="573"/>
      <c r="D2695" s="573"/>
      <c r="E2695" s="574"/>
      <c r="F2695" s="575"/>
    </row>
    <row r="2696" spans="1:6" ht="20.25">
      <c r="A2696" s="572"/>
      <c r="B2696" s="573"/>
      <c r="C2696" s="573"/>
      <c r="D2696" s="573"/>
      <c r="E2696" s="574"/>
      <c r="F2696" s="575"/>
    </row>
    <row r="2697" spans="1:6" ht="20.25">
      <c r="A2697" s="572"/>
      <c r="B2697" s="573"/>
      <c r="C2697" s="573"/>
      <c r="D2697" s="573"/>
      <c r="E2697" s="574"/>
      <c r="F2697" s="575"/>
    </row>
    <row r="2698" spans="1:6" ht="20.25">
      <c r="A2698" s="572"/>
      <c r="B2698" s="573"/>
      <c r="C2698" s="573"/>
      <c r="D2698" s="573"/>
      <c r="E2698" s="574"/>
      <c r="F2698" s="575"/>
    </row>
    <row r="2699" spans="1:6" ht="20.25">
      <c r="A2699" s="572"/>
      <c r="B2699" s="573"/>
      <c r="C2699" s="573"/>
      <c r="D2699" s="573"/>
      <c r="E2699" s="574"/>
      <c r="F2699" s="575"/>
    </row>
    <row r="2700" spans="1:6" ht="20.25">
      <c r="A2700" s="572"/>
      <c r="B2700" s="573"/>
      <c r="C2700" s="573"/>
      <c r="D2700" s="573"/>
      <c r="E2700" s="574"/>
      <c r="F2700" s="575"/>
    </row>
    <row r="2701" spans="1:6" ht="20.25">
      <c r="A2701" s="572"/>
      <c r="B2701" s="573"/>
      <c r="C2701" s="573"/>
      <c r="D2701" s="573"/>
      <c r="E2701" s="574"/>
      <c r="F2701" s="575"/>
    </row>
    <row r="2702" spans="1:6" ht="20.25">
      <c r="A2702" s="572"/>
      <c r="B2702" s="573"/>
      <c r="C2702" s="573"/>
      <c r="D2702" s="573"/>
      <c r="E2702" s="574"/>
      <c r="F2702" s="575"/>
    </row>
    <row r="2703" spans="1:6" ht="20.25">
      <c r="A2703" s="572"/>
      <c r="B2703" s="573"/>
      <c r="C2703" s="573"/>
      <c r="D2703" s="573"/>
      <c r="E2703" s="574"/>
      <c r="F2703" s="575"/>
    </row>
    <row r="2704" spans="1:6" ht="20.25">
      <c r="A2704" s="572"/>
      <c r="B2704" s="573"/>
      <c r="C2704" s="573"/>
      <c r="D2704" s="573"/>
      <c r="E2704" s="574"/>
      <c r="F2704" s="575"/>
    </row>
    <row r="2705" spans="1:6" ht="20.25">
      <c r="A2705" s="572"/>
      <c r="B2705" s="573"/>
      <c r="C2705" s="573"/>
      <c r="D2705" s="573"/>
      <c r="E2705" s="574"/>
      <c r="F2705" s="575"/>
    </row>
    <row r="2706" spans="1:6" ht="20.25">
      <c r="A2706" s="572"/>
      <c r="B2706" s="573"/>
      <c r="C2706" s="573"/>
      <c r="D2706" s="573"/>
      <c r="E2706" s="574"/>
      <c r="F2706" s="575"/>
    </row>
    <row r="2707" spans="1:6" ht="20.25">
      <c r="A2707" s="572"/>
      <c r="B2707" s="573"/>
      <c r="C2707" s="573"/>
      <c r="D2707" s="573"/>
      <c r="E2707" s="574"/>
      <c r="F2707" s="575"/>
    </row>
    <row r="2708" spans="1:6" ht="20.25">
      <c r="A2708" s="572"/>
      <c r="B2708" s="573"/>
      <c r="C2708" s="573"/>
      <c r="D2708" s="573"/>
      <c r="E2708" s="574"/>
      <c r="F2708" s="575"/>
    </row>
    <row r="2709" spans="1:6" ht="20.25">
      <c r="A2709" s="572"/>
      <c r="B2709" s="573"/>
      <c r="C2709" s="573"/>
      <c r="D2709" s="573"/>
      <c r="E2709" s="574"/>
      <c r="F2709" s="575"/>
    </row>
    <row r="2710" spans="1:6" ht="20.25">
      <c r="A2710" s="572"/>
      <c r="B2710" s="573"/>
      <c r="C2710" s="573"/>
      <c r="D2710" s="573"/>
      <c r="E2710" s="574"/>
      <c r="F2710" s="575"/>
    </row>
    <row r="2711" spans="1:6" ht="20.25">
      <c r="A2711" s="572"/>
      <c r="B2711" s="573"/>
      <c r="C2711" s="573"/>
      <c r="D2711" s="573"/>
      <c r="E2711" s="574"/>
      <c r="F2711" s="575"/>
    </row>
    <row r="2712" spans="1:6" ht="20.25">
      <c r="A2712" s="572"/>
      <c r="B2712" s="573"/>
      <c r="C2712" s="573"/>
      <c r="D2712" s="573"/>
      <c r="E2712" s="574"/>
      <c r="F2712" s="575"/>
    </row>
    <row r="2713" spans="1:6" ht="20.25">
      <c r="A2713" s="572"/>
      <c r="B2713" s="573"/>
      <c r="C2713" s="573"/>
      <c r="D2713" s="573"/>
      <c r="E2713" s="574"/>
      <c r="F2713" s="575"/>
    </row>
    <row r="2714" spans="1:6" ht="20.25">
      <c r="A2714" s="572"/>
      <c r="B2714" s="573"/>
      <c r="C2714" s="573"/>
      <c r="D2714" s="573"/>
      <c r="E2714" s="574"/>
      <c r="F2714" s="575"/>
    </row>
    <row r="2715" spans="1:6" ht="20.25">
      <c r="A2715" s="572"/>
      <c r="B2715" s="573"/>
      <c r="C2715" s="573"/>
      <c r="D2715" s="573"/>
      <c r="E2715" s="574"/>
      <c r="F2715" s="575"/>
    </row>
    <row r="2716" spans="1:6" ht="20.25">
      <c r="A2716" s="572"/>
      <c r="B2716" s="573"/>
      <c r="C2716" s="573"/>
      <c r="D2716" s="573"/>
      <c r="E2716" s="574"/>
      <c r="F2716" s="575"/>
    </row>
    <row r="2717" spans="1:6" ht="20.25">
      <c r="A2717" s="572"/>
      <c r="B2717" s="573"/>
      <c r="C2717" s="573"/>
      <c r="D2717" s="573"/>
      <c r="E2717" s="574"/>
      <c r="F2717" s="575"/>
    </row>
    <row r="2718" spans="1:6" ht="20.25">
      <c r="A2718" s="572"/>
      <c r="B2718" s="573"/>
      <c r="C2718" s="573"/>
      <c r="D2718" s="573"/>
      <c r="E2718" s="574"/>
      <c r="F2718" s="575"/>
    </row>
    <row r="2719" spans="1:6" ht="20.25">
      <c r="A2719" s="572"/>
      <c r="B2719" s="573"/>
      <c r="C2719" s="573"/>
      <c r="D2719" s="573"/>
      <c r="E2719" s="574"/>
      <c r="F2719" s="575"/>
    </row>
    <row r="2720" spans="1:6" ht="20.25">
      <c r="A2720" s="572"/>
      <c r="B2720" s="573"/>
      <c r="C2720" s="573"/>
      <c r="D2720" s="573"/>
      <c r="E2720" s="574"/>
      <c r="F2720" s="575"/>
    </row>
    <row r="2721" spans="1:6" ht="20.25">
      <c r="A2721" s="572"/>
      <c r="B2721" s="573"/>
      <c r="C2721" s="573"/>
      <c r="D2721" s="573"/>
      <c r="E2721" s="574"/>
      <c r="F2721" s="575"/>
    </row>
    <row r="2722" spans="1:6" ht="20.25">
      <c r="A2722" s="572"/>
      <c r="B2722" s="573"/>
      <c r="C2722" s="573"/>
      <c r="D2722" s="573"/>
      <c r="E2722" s="574"/>
      <c r="F2722" s="575"/>
    </row>
    <row r="2723" spans="1:6" ht="20.25">
      <c r="A2723" s="572"/>
      <c r="B2723" s="573"/>
      <c r="C2723" s="573"/>
      <c r="D2723" s="573"/>
      <c r="E2723" s="574"/>
      <c r="F2723" s="575"/>
    </row>
    <row r="2724" spans="1:6" ht="20.25">
      <c r="A2724" s="572"/>
      <c r="B2724" s="573"/>
      <c r="C2724" s="573"/>
      <c r="D2724" s="573"/>
      <c r="E2724" s="574"/>
      <c r="F2724" s="575"/>
    </row>
    <row r="2725" spans="1:6" ht="20.25">
      <c r="A2725" s="572"/>
      <c r="B2725" s="573"/>
      <c r="C2725" s="573"/>
      <c r="D2725" s="573"/>
      <c r="E2725" s="574"/>
      <c r="F2725" s="575"/>
    </row>
    <row r="2726" spans="1:6" ht="20.25">
      <c r="A2726" s="572"/>
      <c r="B2726" s="573"/>
      <c r="C2726" s="573"/>
      <c r="D2726" s="573"/>
      <c r="E2726" s="574"/>
      <c r="F2726" s="575"/>
    </row>
    <row r="2727" spans="1:6" ht="20.25">
      <c r="A2727" s="572"/>
      <c r="B2727" s="573"/>
      <c r="C2727" s="573"/>
      <c r="D2727" s="573"/>
      <c r="E2727" s="574"/>
      <c r="F2727" s="575"/>
    </row>
    <row r="2728" spans="1:6" ht="20.25">
      <c r="A2728" s="572"/>
      <c r="B2728" s="573"/>
      <c r="C2728" s="573"/>
      <c r="D2728" s="573"/>
      <c r="E2728" s="574"/>
      <c r="F2728" s="575"/>
    </row>
    <row r="2729" spans="1:6" ht="20.25">
      <c r="A2729" s="572"/>
      <c r="B2729" s="573"/>
      <c r="C2729" s="573"/>
      <c r="D2729" s="573"/>
      <c r="E2729" s="574"/>
      <c r="F2729" s="575"/>
    </row>
    <row r="2730" spans="1:6" ht="20.25">
      <c r="A2730" s="572"/>
      <c r="B2730" s="573"/>
      <c r="C2730" s="573"/>
      <c r="D2730" s="573"/>
      <c r="E2730" s="574"/>
      <c r="F2730" s="575"/>
    </row>
    <row r="2731" spans="1:6" ht="20.25">
      <c r="A2731" s="572"/>
      <c r="B2731" s="573"/>
      <c r="C2731" s="573"/>
      <c r="D2731" s="573"/>
      <c r="E2731" s="574"/>
      <c r="F2731" s="575"/>
    </row>
    <row r="2732" spans="1:6" ht="20.25">
      <c r="A2732" s="572"/>
      <c r="B2732" s="573"/>
      <c r="C2732" s="573"/>
      <c r="D2732" s="573"/>
      <c r="E2732" s="574"/>
      <c r="F2732" s="575"/>
    </row>
    <row r="2733" spans="1:6" ht="20.25">
      <c r="A2733" s="572"/>
      <c r="B2733" s="573"/>
      <c r="C2733" s="573"/>
      <c r="D2733" s="573"/>
      <c r="E2733" s="574"/>
      <c r="F2733" s="575"/>
    </row>
    <row r="2734" spans="1:6" ht="20.25">
      <c r="A2734" s="572"/>
      <c r="B2734" s="573"/>
      <c r="C2734" s="573"/>
      <c r="D2734" s="573"/>
      <c r="E2734" s="574"/>
      <c r="F2734" s="575"/>
    </row>
    <row r="2735" spans="1:6" ht="20.25">
      <c r="A2735" s="572"/>
      <c r="B2735" s="573"/>
      <c r="C2735" s="573"/>
      <c r="D2735" s="573"/>
      <c r="E2735" s="574"/>
      <c r="F2735" s="575"/>
    </row>
    <row r="2736" spans="1:6" ht="20.25">
      <c r="A2736" s="572"/>
      <c r="B2736" s="573"/>
      <c r="C2736" s="573"/>
      <c r="D2736" s="573"/>
      <c r="E2736" s="574"/>
      <c r="F2736" s="575"/>
    </row>
    <row r="2737" spans="1:6" ht="20.25">
      <c r="A2737" s="572"/>
      <c r="B2737" s="573"/>
      <c r="C2737" s="573"/>
      <c r="D2737" s="573"/>
      <c r="E2737" s="574"/>
      <c r="F2737" s="575"/>
    </row>
    <row r="2738" spans="1:6" ht="20.25">
      <c r="A2738" s="572"/>
      <c r="B2738" s="573"/>
      <c r="C2738" s="573"/>
      <c r="D2738" s="573"/>
      <c r="E2738" s="574"/>
      <c r="F2738" s="575"/>
    </row>
    <row r="2739" spans="1:6" ht="20.25">
      <c r="A2739" s="572"/>
      <c r="B2739" s="573"/>
      <c r="C2739" s="573"/>
      <c r="D2739" s="573"/>
      <c r="E2739" s="574"/>
      <c r="F2739" s="575"/>
    </row>
    <row r="2740" spans="1:6" ht="20.25">
      <c r="A2740" s="572"/>
      <c r="B2740" s="573"/>
      <c r="C2740" s="573"/>
      <c r="D2740" s="573"/>
      <c r="E2740" s="574"/>
      <c r="F2740" s="575"/>
    </row>
    <row r="2741" spans="1:6" ht="20.25">
      <c r="A2741" s="572"/>
      <c r="B2741" s="573"/>
      <c r="C2741" s="573"/>
      <c r="D2741" s="573"/>
      <c r="E2741" s="574"/>
      <c r="F2741" s="575"/>
    </row>
    <row r="2742" spans="1:6" ht="20.25">
      <c r="A2742" s="572"/>
      <c r="B2742" s="573"/>
      <c r="C2742" s="573"/>
      <c r="D2742" s="573"/>
      <c r="E2742" s="574"/>
      <c r="F2742" s="575"/>
    </row>
    <row r="2743" spans="1:6" ht="20.25">
      <c r="A2743" s="572"/>
      <c r="B2743" s="573"/>
      <c r="C2743" s="573"/>
      <c r="D2743" s="573"/>
      <c r="E2743" s="574"/>
      <c r="F2743" s="575"/>
    </row>
    <row r="2744" spans="1:6" ht="20.25">
      <c r="A2744" s="572"/>
      <c r="B2744" s="573"/>
      <c r="C2744" s="573"/>
      <c r="D2744" s="573"/>
      <c r="E2744" s="574"/>
      <c r="F2744" s="575"/>
    </row>
    <row r="2745" spans="1:6" ht="20.25">
      <c r="A2745" s="572"/>
      <c r="B2745" s="573"/>
      <c r="C2745" s="573"/>
      <c r="D2745" s="573"/>
      <c r="E2745" s="574"/>
      <c r="F2745" s="575"/>
    </row>
    <row r="2746" spans="1:6" ht="20.25">
      <c r="A2746" s="572"/>
      <c r="B2746" s="573"/>
      <c r="C2746" s="573"/>
      <c r="D2746" s="573"/>
      <c r="E2746" s="574"/>
      <c r="F2746" s="575"/>
    </row>
    <row r="2747" spans="1:6" ht="20.25">
      <c r="A2747" s="572"/>
      <c r="B2747" s="573"/>
      <c r="C2747" s="573"/>
      <c r="D2747" s="573"/>
      <c r="E2747" s="574"/>
      <c r="F2747" s="575"/>
    </row>
    <row r="2748" spans="1:6" ht="20.25">
      <c r="A2748" s="572"/>
      <c r="B2748" s="573"/>
      <c r="C2748" s="573"/>
      <c r="D2748" s="573"/>
      <c r="E2748" s="574"/>
      <c r="F2748" s="575"/>
    </row>
    <row r="2749" spans="1:6" ht="20.25">
      <c r="A2749" s="572"/>
      <c r="B2749" s="573"/>
      <c r="C2749" s="573"/>
      <c r="D2749" s="573"/>
      <c r="E2749" s="574"/>
      <c r="F2749" s="575"/>
    </row>
    <row r="2750" spans="1:6" ht="20.25">
      <c r="A2750" s="572"/>
      <c r="B2750" s="573"/>
      <c r="C2750" s="573"/>
      <c r="D2750" s="573"/>
      <c r="E2750" s="574"/>
      <c r="F2750" s="575"/>
    </row>
    <row r="2751" spans="1:6" ht="20.25">
      <c r="A2751" s="572"/>
      <c r="B2751" s="573"/>
      <c r="C2751" s="573"/>
      <c r="D2751" s="573"/>
      <c r="E2751" s="574"/>
      <c r="F2751" s="575"/>
    </row>
    <row r="2752" spans="1:6" ht="20.25">
      <c r="A2752" s="572"/>
      <c r="B2752" s="573"/>
      <c r="C2752" s="573"/>
      <c r="D2752" s="573"/>
      <c r="E2752" s="574"/>
      <c r="F2752" s="575"/>
    </row>
    <row r="2753" spans="1:6" ht="20.25">
      <c r="A2753" s="572"/>
      <c r="B2753" s="573"/>
      <c r="C2753" s="573"/>
      <c r="D2753" s="573"/>
      <c r="E2753" s="574"/>
      <c r="F2753" s="575"/>
    </row>
    <row r="2754" spans="1:6" ht="20.25">
      <c r="A2754" s="572"/>
      <c r="B2754" s="573"/>
      <c r="C2754" s="573"/>
      <c r="D2754" s="573"/>
      <c r="E2754" s="574"/>
      <c r="F2754" s="575"/>
    </row>
    <row r="2755" spans="1:6" ht="20.25">
      <c r="A2755" s="572"/>
      <c r="B2755" s="573"/>
      <c r="C2755" s="573"/>
      <c r="D2755" s="573"/>
      <c r="E2755" s="574"/>
      <c r="F2755" s="575"/>
    </row>
    <row r="2756" spans="1:6" ht="20.25">
      <c r="A2756" s="572"/>
      <c r="B2756" s="573"/>
      <c r="C2756" s="573"/>
      <c r="D2756" s="573"/>
      <c r="E2756" s="574"/>
      <c r="F2756" s="575"/>
    </row>
    <row r="2757" spans="1:6" ht="20.25">
      <c r="A2757" s="572"/>
      <c r="B2757" s="573"/>
      <c r="C2757" s="573"/>
      <c r="D2757" s="573"/>
      <c r="E2757" s="574"/>
      <c r="F2757" s="575"/>
    </row>
    <row r="2758" spans="1:6" ht="20.25">
      <c r="A2758" s="572"/>
      <c r="B2758" s="573"/>
      <c r="C2758" s="573"/>
      <c r="D2758" s="573"/>
      <c r="E2758" s="574"/>
      <c r="F2758" s="575"/>
    </row>
    <row r="2759" spans="1:6" ht="20.25">
      <c r="A2759" s="572"/>
      <c r="B2759" s="573"/>
      <c r="C2759" s="573"/>
      <c r="D2759" s="573"/>
      <c r="E2759" s="574"/>
      <c r="F2759" s="575"/>
    </row>
    <row r="2760" spans="1:6" ht="20.25">
      <c r="A2760" s="572"/>
      <c r="B2760" s="573"/>
      <c r="C2760" s="573"/>
      <c r="D2760" s="573"/>
      <c r="E2760" s="574"/>
      <c r="F2760" s="575"/>
    </row>
    <row r="2761" spans="1:6" ht="20.25">
      <c r="A2761" s="572"/>
      <c r="B2761" s="573"/>
      <c r="C2761" s="573"/>
      <c r="D2761" s="573"/>
      <c r="E2761" s="574"/>
      <c r="F2761" s="575"/>
    </row>
    <row r="2762" spans="1:6" ht="20.25">
      <c r="A2762" s="572"/>
      <c r="B2762" s="573"/>
      <c r="C2762" s="573"/>
      <c r="D2762" s="573"/>
      <c r="E2762" s="574"/>
      <c r="F2762" s="575"/>
    </row>
    <row r="2763" spans="1:6" ht="20.25">
      <c r="A2763" s="572"/>
      <c r="B2763" s="573"/>
      <c r="C2763" s="573"/>
      <c r="D2763" s="573"/>
      <c r="E2763" s="574"/>
      <c r="F2763" s="575"/>
    </row>
    <row r="2764" spans="1:6" ht="20.25">
      <c r="A2764" s="572"/>
      <c r="B2764" s="573"/>
      <c r="C2764" s="573"/>
      <c r="D2764" s="573"/>
      <c r="E2764" s="574"/>
      <c r="F2764" s="575"/>
    </row>
    <row r="2765" spans="1:6" ht="20.25">
      <c r="A2765" s="572"/>
      <c r="B2765" s="573"/>
      <c r="C2765" s="573"/>
      <c r="D2765" s="573"/>
      <c r="E2765" s="574"/>
      <c r="F2765" s="575"/>
    </row>
    <row r="2766" spans="1:6" ht="20.25">
      <c r="A2766" s="572"/>
      <c r="B2766" s="573"/>
      <c r="C2766" s="573"/>
      <c r="D2766" s="573"/>
      <c r="E2766" s="574"/>
      <c r="F2766" s="575"/>
    </row>
    <row r="2767" spans="1:6" ht="20.25">
      <c r="A2767" s="572"/>
      <c r="B2767" s="573"/>
      <c r="C2767" s="573"/>
      <c r="D2767" s="573"/>
      <c r="E2767" s="574"/>
      <c r="F2767" s="575"/>
    </row>
    <row r="2768" spans="1:6" ht="20.25">
      <c r="A2768" s="572"/>
      <c r="B2768" s="573"/>
      <c r="C2768" s="573"/>
      <c r="D2768" s="573"/>
      <c r="E2768" s="574"/>
      <c r="F2768" s="575"/>
    </row>
    <row r="2769" spans="1:6" ht="20.25">
      <c r="A2769" s="572"/>
      <c r="B2769" s="573"/>
      <c r="C2769" s="573"/>
      <c r="D2769" s="573"/>
      <c r="E2769" s="574"/>
      <c r="F2769" s="575"/>
    </row>
    <row r="2770" spans="1:6" ht="20.25">
      <c r="A2770" s="572"/>
      <c r="B2770" s="573"/>
      <c r="C2770" s="573"/>
      <c r="D2770" s="573"/>
      <c r="E2770" s="574"/>
      <c r="F2770" s="575"/>
    </row>
    <row r="2771" spans="1:6" ht="20.25">
      <c r="A2771" s="572"/>
      <c r="B2771" s="573"/>
      <c r="C2771" s="573"/>
      <c r="D2771" s="573"/>
      <c r="E2771" s="574"/>
      <c r="F2771" s="575"/>
    </row>
    <row r="2772" spans="1:6" ht="20.25">
      <c r="A2772" s="572"/>
      <c r="B2772" s="573"/>
      <c r="C2772" s="573"/>
      <c r="D2772" s="573"/>
      <c r="E2772" s="574"/>
      <c r="F2772" s="575"/>
    </row>
    <row r="2773" spans="1:6" ht="20.25">
      <c r="A2773" s="572"/>
      <c r="B2773" s="573"/>
      <c r="C2773" s="573"/>
      <c r="D2773" s="573"/>
      <c r="E2773" s="574"/>
      <c r="F2773" s="575"/>
    </row>
    <row r="2774" spans="1:6" ht="20.25">
      <c r="A2774" s="572"/>
      <c r="B2774" s="573"/>
      <c r="C2774" s="573"/>
      <c r="D2774" s="573"/>
      <c r="E2774" s="574"/>
      <c r="F2774" s="575"/>
    </row>
    <row r="2775" spans="1:6" ht="20.25">
      <c r="A2775" s="572"/>
      <c r="B2775" s="573"/>
      <c r="C2775" s="573"/>
      <c r="D2775" s="573"/>
      <c r="E2775" s="574"/>
      <c r="F2775" s="575"/>
    </row>
    <row r="2776" spans="1:6" ht="20.25">
      <c r="A2776" s="572"/>
      <c r="B2776" s="573"/>
      <c r="C2776" s="573"/>
      <c r="D2776" s="573"/>
      <c r="E2776" s="574"/>
      <c r="F2776" s="575"/>
    </row>
    <row r="2777" spans="1:6" ht="20.25">
      <c r="A2777" s="572"/>
      <c r="B2777" s="573"/>
      <c r="C2777" s="573"/>
      <c r="D2777" s="573"/>
      <c r="E2777" s="574"/>
      <c r="F2777" s="575"/>
    </row>
    <row r="2778" spans="1:6" ht="20.25">
      <c r="A2778" s="572"/>
      <c r="B2778" s="573"/>
      <c r="C2778" s="573"/>
      <c r="D2778" s="573"/>
      <c r="E2778" s="574"/>
      <c r="F2778" s="575"/>
    </row>
    <row r="2779" spans="1:6" ht="20.25">
      <c r="A2779" s="572"/>
      <c r="B2779" s="573"/>
      <c r="C2779" s="573"/>
      <c r="D2779" s="573"/>
      <c r="E2779" s="574"/>
      <c r="F2779" s="575"/>
    </row>
    <row r="2780" spans="1:6" ht="20.25">
      <c r="A2780" s="572"/>
      <c r="B2780" s="573"/>
      <c r="C2780" s="573"/>
      <c r="D2780" s="573"/>
      <c r="E2780" s="574"/>
      <c r="F2780" s="575"/>
    </row>
    <row r="2781" spans="1:6" ht="20.25">
      <c r="A2781" s="572"/>
      <c r="B2781" s="573"/>
      <c r="C2781" s="573"/>
      <c r="D2781" s="573"/>
      <c r="E2781" s="574"/>
      <c r="F2781" s="575"/>
    </row>
    <row r="2782" spans="1:6" ht="20.25">
      <c r="A2782" s="572"/>
      <c r="B2782" s="573"/>
      <c r="C2782" s="573"/>
      <c r="D2782" s="573"/>
      <c r="E2782" s="574"/>
      <c r="F2782" s="575"/>
    </row>
    <row r="2783" spans="1:6" ht="20.25">
      <c r="A2783" s="572"/>
      <c r="B2783" s="573"/>
      <c r="C2783" s="573"/>
      <c r="D2783" s="573"/>
      <c r="E2783" s="574"/>
      <c r="F2783" s="575"/>
    </row>
    <row r="2784" spans="1:6" ht="20.25">
      <c r="A2784" s="572"/>
      <c r="B2784" s="573"/>
      <c r="C2784" s="573"/>
      <c r="D2784" s="573"/>
      <c r="E2784" s="574"/>
      <c r="F2784" s="575"/>
    </row>
    <row r="2785" spans="1:6" ht="20.25">
      <c r="A2785" s="572"/>
      <c r="B2785" s="573"/>
      <c r="C2785" s="573"/>
      <c r="D2785" s="573"/>
      <c r="E2785" s="574"/>
      <c r="F2785" s="575"/>
    </row>
    <row r="2786" spans="1:6" ht="20.25">
      <c r="A2786" s="572"/>
      <c r="B2786" s="573"/>
      <c r="C2786" s="573"/>
      <c r="D2786" s="573"/>
      <c r="E2786" s="574"/>
      <c r="F2786" s="575"/>
    </row>
    <row r="2787" spans="1:6" ht="20.25">
      <c r="A2787" s="572"/>
      <c r="B2787" s="573"/>
      <c r="C2787" s="573"/>
      <c r="D2787" s="573"/>
      <c r="E2787" s="574"/>
      <c r="F2787" s="575"/>
    </row>
    <row r="2788" spans="1:6" ht="20.25">
      <c r="A2788" s="572"/>
      <c r="B2788" s="573"/>
      <c r="C2788" s="573"/>
      <c r="D2788" s="573"/>
      <c r="E2788" s="574"/>
      <c r="F2788" s="575"/>
    </row>
    <row r="2789" spans="1:6" ht="20.25">
      <c r="A2789" s="572"/>
      <c r="B2789" s="573"/>
      <c r="C2789" s="573"/>
      <c r="D2789" s="573"/>
      <c r="E2789" s="574"/>
      <c r="F2789" s="575"/>
    </row>
    <row r="2790" spans="1:6" ht="20.25">
      <c r="A2790" s="572"/>
      <c r="B2790" s="573"/>
      <c r="C2790" s="573"/>
      <c r="D2790" s="573"/>
      <c r="E2790" s="574"/>
      <c r="F2790" s="575"/>
    </row>
    <row r="2791" spans="1:6" ht="20.25">
      <c r="A2791" s="572"/>
      <c r="B2791" s="573"/>
      <c r="C2791" s="573"/>
      <c r="D2791" s="573"/>
      <c r="E2791" s="574"/>
      <c r="F2791" s="575"/>
    </row>
    <row r="2792" spans="1:6" ht="20.25">
      <c r="A2792" s="572"/>
      <c r="B2792" s="573"/>
      <c r="C2792" s="573"/>
      <c r="D2792" s="573"/>
      <c r="E2792" s="574"/>
      <c r="F2792" s="575"/>
    </row>
    <row r="2793" spans="1:6" ht="20.25">
      <c r="A2793" s="572"/>
      <c r="B2793" s="573"/>
      <c r="C2793" s="573"/>
      <c r="D2793" s="573"/>
      <c r="E2793" s="574"/>
      <c r="F2793" s="575"/>
    </row>
    <row r="2794" spans="1:6" ht="20.25">
      <c r="A2794" s="572"/>
      <c r="B2794" s="573"/>
      <c r="C2794" s="573"/>
      <c r="D2794" s="573"/>
      <c r="E2794" s="574"/>
      <c r="F2794" s="575"/>
    </row>
    <row r="2795" spans="1:6" ht="20.25">
      <c r="A2795" s="572"/>
      <c r="B2795" s="573"/>
      <c r="C2795" s="573"/>
      <c r="D2795" s="573"/>
      <c r="E2795" s="574"/>
      <c r="F2795" s="575"/>
    </row>
    <row r="2796" spans="1:6" ht="20.25">
      <c r="A2796" s="572"/>
      <c r="B2796" s="573"/>
      <c r="C2796" s="573"/>
      <c r="D2796" s="573"/>
      <c r="E2796" s="574"/>
      <c r="F2796" s="575"/>
    </row>
    <row r="2797" spans="1:6" ht="20.25">
      <c r="A2797" s="572"/>
      <c r="B2797" s="573"/>
      <c r="C2797" s="573"/>
      <c r="D2797" s="573"/>
      <c r="E2797" s="574"/>
      <c r="F2797" s="575"/>
    </row>
    <row r="2798" spans="1:6" ht="20.25">
      <c r="A2798" s="572"/>
      <c r="B2798" s="573"/>
      <c r="C2798" s="573"/>
      <c r="D2798" s="573"/>
      <c r="E2798" s="574"/>
      <c r="F2798" s="575"/>
    </row>
    <row r="2799" spans="1:6" ht="20.25">
      <c r="A2799" s="572"/>
      <c r="B2799" s="573"/>
      <c r="C2799" s="573"/>
      <c r="D2799" s="573"/>
      <c r="E2799" s="574"/>
      <c r="F2799" s="575"/>
    </row>
    <row r="2800" spans="1:6" ht="20.25">
      <c r="A2800" s="572"/>
      <c r="B2800" s="573"/>
      <c r="C2800" s="573"/>
      <c r="D2800" s="573"/>
      <c r="E2800" s="574"/>
      <c r="F2800" s="575"/>
    </row>
    <row r="2801" spans="1:6" ht="20.25">
      <c r="A2801" s="572"/>
      <c r="B2801" s="573"/>
      <c r="C2801" s="573"/>
      <c r="D2801" s="573"/>
      <c r="E2801" s="574"/>
      <c r="F2801" s="575"/>
    </row>
    <row r="2802" spans="1:6" ht="20.25">
      <c r="A2802" s="572"/>
      <c r="B2802" s="573"/>
      <c r="C2802" s="573"/>
      <c r="D2802" s="573"/>
      <c r="E2802" s="574"/>
      <c r="F2802" s="575"/>
    </row>
    <row r="2803" spans="1:6" ht="20.25">
      <c r="A2803" s="572"/>
      <c r="B2803" s="573"/>
      <c r="C2803" s="573"/>
      <c r="D2803" s="573"/>
      <c r="E2803" s="574"/>
      <c r="F2803" s="575"/>
    </row>
    <row r="2804" spans="1:6" ht="20.25">
      <c r="A2804" s="572"/>
      <c r="B2804" s="573"/>
      <c r="C2804" s="573"/>
      <c r="D2804" s="573"/>
      <c r="E2804" s="574"/>
      <c r="F2804" s="575"/>
    </row>
    <row r="2805" spans="1:6" ht="20.25">
      <c r="A2805" s="572"/>
      <c r="B2805" s="573"/>
      <c r="C2805" s="573"/>
      <c r="D2805" s="573"/>
      <c r="E2805" s="574"/>
      <c r="F2805" s="575"/>
    </row>
    <row r="2806" spans="1:6" ht="20.25">
      <c r="A2806" s="572"/>
      <c r="B2806" s="573"/>
      <c r="C2806" s="573"/>
      <c r="D2806" s="573"/>
      <c r="E2806" s="574"/>
      <c r="F2806" s="575"/>
    </row>
    <row r="2807" spans="1:6" ht="20.25">
      <c r="A2807" s="572"/>
      <c r="B2807" s="573"/>
      <c r="C2807" s="573"/>
      <c r="D2807" s="573"/>
      <c r="E2807" s="574"/>
      <c r="F2807" s="575"/>
    </row>
    <row r="2808" spans="1:6" ht="20.25">
      <c r="A2808" s="572"/>
      <c r="B2808" s="573"/>
      <c r="C2808" s="573"/>
      <c r="D2808" s="573"/>
      <c r="E2808" s="574"/>
      <c r="F2808" s="575"/>
    </row>
    <row r="2809" spans="1:6" ht="20.25">
      <c r="A2809" s="572"/>
      <c r="B2809" s="573"/>
      <c r="C2809" s="573"/>
      <c r="D2809" s="573"/>
      <c r="E2809" s="574"/>
      <c r="F2809" s="575"/>
    </row>
    <row r="2810" spans="1:6" ht="20.25">
      <c r="A2810" s="572"/>
      <c r="B2810" s="573"/>
      <c r="C2810" s="573"/>
      <c r="D2810" s="573"/>
      <c r="E2810" s="574"/>
      <c r="F2810" s="575"/>
    </row>
    <row r="2811" spans="1:6" ht="20.25">
      <c r="A2811" s="572"/>
      <c r="B2811" s="573"/>
      <c r="C2811" s="573"/>
      <c r="D2811" s="573"/>
      <c r="E2811" s="574"/>
      <c r="F2811" s="575"/>
    </row>
    <row r="2812" spans="1:6" ht="20.25">
      <c r="A2812" s="572"/>
      <c r="B2812" s="573"/>
      <c r="C2812" s="573"/>
      <c r="D2812" s="573"/>
      <c r="E2812" s="574"/>
      <c r="F2812" s="575"/>
    </row>
    <row r="2813" spans="1:6" ht="20.25">
      <c r="A2813" s="572"/>
      <c r="B2813" s="573"/>
      <c r="C2813" s="573"/>
      <c r="D2813" s="573"/>
      <c r="E2813" s="574"/>
      <c r="F2813" s="575"/>
    </row>
    <row r="2814" spans="1:6" ht="20.25">
      <c r="A2814" s="572"/>
      <c r="B2814" s="573"/>
      <c r="C2814" s="573"/>
      <c r="D2814" s="573"/>
      <c r="E2814" s="574"/>
      <c r="F2814" s="575"/>
    </row>
    <row r="2815" spans="1:6" ht="20.25">
      <c r="A2815" s="572"/>
      <c r="B2815" s="573"/>
      <c r="C2815" s="573"/>
      <c r="D2815" s="573"/>
      <c r="E2815" s="574"/>
      <c r="F2815" s="575"/>
    </row>
    <row r="2816" spans="1:6" ht="20.25">
      <c r="A2816" s="572"/>
      <c r="B2816" s="573"/>
      <c r="C2816" s="573"/>
      <c r="D2816" s="573"/>
      <c r="E2816" s="574"/>
      <c r="F2816" s="575"/>
    </row>
    <row r="2817" spans="1:6" ht="20.25">
      <c r="A2817" s="572"/>
      <c r="B2817" s="573"/>
      <c r="C2817" s="573"/>
      <c r="D2817" s="573"/>
      <c r="E2817" s="574"/>
      <c r="F2817" s="575"/>
    </row>
    <row r="2818" spans="1:6" ht="20.25">
      <c r="A2818" s="572"/>
      <c r="B2818" s="573"/>
      <c r="C2818" s="573"/>
      <c r="D2818" s="573"/>
      <c r="E2818" s="574"/>
      <c r="F2818" s="575"/>
    </row>
    <row r="2819" spans="1:6" ht="20.25">
      <c r="A2819" s="572"/>
      <c r="B2819" s="573"/>
      <c r="C2819" s="573"/>
      <c r="D2819" s="573"/>
      <c r="E2819" s="574"/>
      <c r="F2819" s="575"/>
    </row>
    <row r="2820" spans="1:6" ht="20.25">
      <c r="A2820" s="572"/>
      <c r="B2820" s="573"/>
      <c r="C2820" s="573"/>
      <c r="D2820" s="573"/>
      <c r="E2820" s="574"/>
      <c r="F2820" s="575"/>
    </row>
    <row r="2821" spans="1:6" ht="20.25">
      <c r="A2821" s="572"/>
      <c r="B2821" s="573"/>
      <c r="C2821" s="573"/>
      <c r="D2821" s="573"/>
      <c r="E2821" s="574"/>
      <c r="F2821" s="575"/>
    </row>
    <row r="2822" spans="1:6" ht="20.25">
      <c r="A2822" s="572"/>
      <c r="B2822" s="573"/>
      <c r="C2822" s="573"/>
      <c r="D2822" s="573"/>
      <c r="E2822" s="574"/>
      <c r="F2822" s="575"/>
    </row>
    <row r="2823" spans="1:6" ht="20.25">
      <c r="A2823" s="572"/>
      <c r="B2823" s="573"/>
      <c r="C2823" s="573"/>
      <c r="D2823" s="573"/>
      <c r="E2823" s="574"/>
      <c r="F2823" s="575"/>
    </row>
    <row r="2824" spans="1:6" ht="20.25">
      <c r="A2824" s="572"/>
      <c r="B2824" s="573"/>
      <c r="C2824" s="573"/>
      <c r="D2824" s="573"/>
      <c r="E2824" s="574"/>
      <c r="F2824" s="575"/>
    </row>
    <row r="2825" spans="1:6" ht="20.25">
      <c r="A2825" s="572"/>
      <c r="B2825" s="573"/>
      <c r="C2825" s="573"/>
      <c r="D2825" s="573"/>
      <c r="E2825" s="574"/>
      <c r="F2825" s="575"/>
    </row>
    <row r="2826" spans="1:6" ht="20.25">
      <c r="A2826" s="572"/>
      <c r="B2826" s="573"/>
      <c r="C2826" s="573"/>
      <c r="D2826" s="573"/>
      <c r="E2826" s="574"/>
      <c r="F2826" s="575"/>
    </row>
    <row r="2827" spans="1:6" ht="20.25">
      <c r="A2827" s="572"/>
      <c r="B2827" s="573"/>
      <c r="C2827" s="573"/>
      <c r="D2827" s="573"/>
      <c r="E2827" s="574"/>
      <c r="F2827" s="575"/>
    </row>
    <row r="2828" spans="1:6" ht="20.25">
      <c r="A2828" s="572"/>
      <c r="B2828" s="573"/>
      <c r="C2828" s="573"/>
      <c r="D2828" s="573"/>
      <c r="E2828" s="574"/>
      <c r="F2828" s="575"/>
    </row>
    <row r="2829" spans="1:6" ht="20.25">
      <c r="A2829" s="572"/>
      <c r="B2829" s="573"/>
      <c r="C2829" s="573"/>
      <c r="D2829" s="573"/>
      <c r="E2829" s="574"/>
      <c r="F2829" s="575"/>
    </row>
    <row r="2830" spans="1:6" ht="20.25">
      <c r="A2830" s="572"/>
      <c r="B2830" s="573"/>
      <c r="C2830" s="573"/>
      <c r="D2830" s="573"/>
      <c r="E2830" s="574"/>
      <c r="F2830" s="575"/>
    </row>
    <row r="2831" spans="1:6" ht="20.25">
      <c r="A2831" s="572"/>
      <c r="B2831" s="573"/>
      <c r="C2831" s="573"/>
      <c r="D2831" s="573"/>
      <c r="E2831" s="574"/>
      <c r="F2831" s="575"/>
    </row>
    <row r="2832" spans="1:6" ht="20.25">
      <c r="A2832" s="572"/>
      <c r="B2832" s="573"/>
      <c r="C2832" s="573"/>
      <c r="D2832" s="573"/>
      <c r="E2832" s="574"/>
      <c r="F2832" s="575"/>
    </row>
    <row r="2833" spans="1:6" ht="20.25">
      <c r="A2833" s="572"/>
      <c r="B2833" s="573"/>
      <c r="C2833" s="573"/>
      <c r="D2833" s="573"/>
      <c r="E2833" s="574"/>
      <c r="F2833" s="575"/>
    </row>
    <row r="2834" spans="1:6" ht="20.25">
      <c r="A2834" s="572"/>
      <c r="B2834" s="573"/>
      <c r="C2834" s="573"/>
      <c r="D2834" s="573"/>
      <c r="E2834" s="574"/>
      <c r="F2834" s="575"/>
    </row>
    <row r="2835" spans="1:6" ht="20.25">
      <c r="A2835" s="572"/>
      <c r="B2835" s="573"/>
      <c r="C2835" s="573"/>
      <c r="D2835" s="573"/>
      <c r="E2835" s="574"/>
      <c r="F2835" s="575"/>
    </row>
    <row r="2836" spans="1:6" ht="20.25">
      <c r="A2836" s="572"/>
      <c r="B2836" s="573"/>
      <c r="C2836" s="573"/>
      <c r="D2836" s="573"/>
      <c r="E2836" s="574"/>
      <c r="F2836" s="575"/>
    </row>
    <row r="2837" spans="1:6" ht="20.25">
      <c r="A2837" s="572"/>
      <c r="B2837" s="573"/>
      <c r="C2837" s="573"/>
      <c r="D2837" s="573"/>
      <c r="E2837" s="574"/>
      <c r="F2837" s="575"/>
    </row>
    <row r="2838" spans="1:6" ht="20.25">
      <c r="A2838" s="572"/>
      <c r="B2838" s="573"/>
      <c r="C2838" s="573"/>
      <c r="D2838" s="573"/>
      <c r="E2838" s="574"/>
      <c r="F2838" s="575"/>
    </row>
    <row r="2839" spans="1:6" ht="20.25">
      <c r="A2839" s="572"/>
      <c r="B2839" s="573"/>
      <c r="C2839" s="573"/>
      <c r="D2839" s="573"/>
      <c r="E2839" s="574"/>
      <c r="F2839" s="575"/>
    </row>
    <row r="2840" spans="1:6" ht="20.25">
      <c r="A2840" s="572"/>
      <c r="B2840" s="573"/>
      <c r="C2840" s="573"/>
      <c r="D2840" s="573"/>
      <c r="E2840" s="574"/>
      <c r="F2840" s="575"/>
    </row>
    <row r="2841" spans="1:6" ht="20.25">
      <c r="A2841" s="572"/>
      <c r="B2841" s="573"/>
      <c r="C2841" s="573"/>
      <c r="D2841" s="573"/>
      <c r="E2841" s="574"/>
      <c r="F2841" s="575"/>
    </row>
    <row r="2842" spans="1:6" ht="20.25">
      <c r="A2842" s="572"/>
      <c r="B2842" s="573"/>
      <c r="C2842" s="573"/>
      <c r="D2842" s="573"/>
      <c r="E2842" s="574"/>
      <c r="F2842" s="575"/>
    </row>
    <row r="2843" spans="1:6" ht="20.25">
      <c r="A2843" s="572"/>
      <c r="B2843" s="573"/>
      <c r="C2843" s="573"/>
      <c r="D2843" s="573"/>
      <c r="E2843" s="574"/>
      <c r="F2843" s="575"/>
    </row>
    <row r="2844" spans="1:6" ht="20.25">
      <c r="A2844" s="572"/>
      <c r="B2844" s="573"/>
      <c r="C2844" s="573"/>
      <c r="D2844" s="573"/>
      <c r="E2844" s="574"/>
      <c r="F2844" s="575"/>
    </row>
    <row r="2845" spans="1:6" ht="20.25">
      <c r="A2845" s="572"/>
      <c r="B2845" s="573"/>
      <c r="C2845" s="573"/>
      <c r="D2845" s="573"/>
      <c r="E2845" s="574"/>
      <c r="F2845" s="575"/>
    </row>
    <row r="2846" spans="1:6" ht="20.25">
      <c r="A2846" s="572"/>
      <c r="B2846" s="573"/>
      <c r="C2846" s="573"/>
      <c r="D2846" s="573"/>
      <c r="E2846" s="574"/>
      <c r="F2846" s="575"/>
    </row>
    <row r="2847" spans="1:6" ht="20.25">
      <c r="A2847" s="572"/>
      <c r="B2847" s="573"/>
      <c r="C2847" s="573"/>
      <c r="D2847" s="573"/>
      <c r="E2847" s="574"/>
      <c r="F2847" s="575"/>
    </row>
    <row r="2848" spans="1:6" ht="20.25">
      <c r="A2848" s="572"/>
      <c r="B2848" s="573"/>
      <c r="C2848" s="573"/>
      <c r="D2848" s="573"/>
      <c r="E2848" s="574"/>
      <c r="F2848" s="575"/>
    </row>
    <row r="2849" spans="1:6" ht="20.25">
      <c r="A2849" s="572"/>
      <c r="B2849" s="573"/>
      <c r="C2849" s="573"/>
      <c r="D2849" s="573"/>
      <c r="E2849" s="574"/>
      <c r="F2849" s="575"/>
    </row>
    <row r="2850" spans="1:6" ht="20.25">
      <c r="A2850" s="572"/>
      <c r="B2850" s="573"/>
      <c r="C2850" s="573"/>
      <c r="D2850" s="573"/>
      <c r="E2850" s="574"/>
      <c r="F2850" s="575"/>
    </row>
    <row r="2851" spans="1:6" ht="20.25">
      <c r="A2851" s="572"/>
      <c r="B2851" s="573"/>
      <c r="C2851" s="573"/>
      <c r="D2851" s="573"/>
      <c r="E2851" s="574"/>
      <c r="F2851" s="575"/>
    </row>
    <row r="2852" spans="1:6" ht="20.25">
      <c r="A2852" s="572"/>
      <c r="B2852" s="573"/>
      <c r="C2852" s="573"/>
      <c r="D2852" s="573"/>
      <c r="E2852" s="574"/>
      <c r="F2852" s="575"/>
    </row>
    <row r="2853" spans="1:6" ht="20.25">
      <c r="A2853" s="572"/>
      <c r="B2853" s="573"/>
      <c r="C2853" s="573"/>
      <c r="D2853" s="573"/>
      <c r="E2853" s="574"/>
      <c r="F2853" s="575"/>
    </row>
    <row r="2854" spans="1:6" ht="20.25">
      <c r="A2854" s="572"/>
      <c r="B2854" s="573"/>
      <c r="C2854" s="573"/>
      <c r="D2854" s="573"/>
      <c r="E2854" s="574"/>
      <c r="F2854" s="575"/>
    </row>
    <row r="2855" spans="1:6" ht="20.25">
      <c r="A2855" s="572"/>
      <c r="B2855" s="573"/>
      <c r="C2855" s="573"/>
      <c r="D2855" s="573"/>
      <c r="E2855" s="574"/>
      <c r="F2855" s="575"/>
    </row>
    <row r="2856" spans="1:6" ht="20.25">
      <c r="A2856" s="572"/>
      <c r="B2856" s="573"/>
      <c r="C2856" s="573"/>
      <c r="D2856" s="573"/>
      <c r="E2856" s="574"/>
      <c r="F2856" s="575"/>
    </row>
    <row r="2857" spans="1:6" ht="20.25">
      <c r="A2857" s="572"/>
      <c r="B2857" s="573"/>
      <c r="C2857" s="573"/>
      <c r="D2857" s="573"/>
      <c r="E2857" s="574"/>
      <c r="F2857" s="575"/>
    </row>
    <row r="2858" spans="1:6" ht="20.25">
      <c r="A2858" s="572"/>
      <c r="B2858" s="573"/>
      <c r="C2858" s="573"/>
      <c r="D2858" s="573"/>
      <c r="E2858" s="574"/>
      <c r="F2858" s="575"/>
    </row>
    <row r="2859" spans="1:6" ht="20.25">
      <c r="A2859" s="572"/>
      <c r="B2859" s="573"/>
      <c r="C2859" s="573"/>
      <c r="D2859" s="573"/>
      <c r="E2859" s="574"/>
      <c r="F2859" s="575"/>
    </row>
    <row r="2860" spans="1:6" ht="20.25">
      <c r="A2860" s="572"/>
      <c r="B2860" s="573"/>
      <c r="C2860" s="573"/>
      <c r="D2860" s="573"/>
      <c r="E2860" s="574"/>
      <c r="F2860" s="575"/>
    </row>
    <row r="2861" spans="1:6" ht="20.25">
      <c r="A2861" s="572"/>
      <c r="B2861" s="573"/>
      <c r="C2861" s="573"/>
      <c r="D2861" s="573"/>
      <c r="E2861" s="574"/>
      <c r="F2861" s="575"/>
    </row>
    <row r="2862" spans="1:6" ht="20.25">
      <c r="A2862" s="572"/>
      <c r="B2862" s="573"/>
      <c r="C2862" s="573"/>
      <c r="D2862" s="573"/>
      <c r="E2862" s="574"/>
      <c r="F2862" s="575"/>
    </row>
    <row r="2863" spans="1:6" ht="20.25">
      <c r="A2863" s="572"/>
      <c r="B2863" s="573"/>
      <c r="C2863" s="573"/>
      <c r="D2863" s="573"/>
      <c r="E2863" s="574"/>
      <c r="F2863" s="575"/>
    </row>
    <row r="2864" spans="1:6" ht="20.25">
      <c r="A2864" s="572"/>
      <c r="B2864" s="573"/>
      <c r="C2864" s="573"/>
      <c r="D2864" s="573"/>
      <c r="E2864" s="574"/>
      <c r="F2864" s="575"/>
    </row>
    <row r="2865" spans="1:6" ht="20.25">
      <c r="A2865" s="572"/>
      <c r="B2865" s="573"/>
      <c r="C2865" s="573"/>
      <c r="D2865" s="573"/>
      <c r="E2865" s="574"/>
      <c r="F2865" s="575"/>
    </row>
    <row r="2866" spans="1:6" ht="20.25">
      <c r="A2866" s="572"/>
      <c r="B2866" s="573"/>
      <c r="C2866" s="573"/>
      <c r="D2866" s="573"/>
      <c r="E2866" s="574"/>
      <c r="F2866" s="575"/>
    </row>
    <row r="2867" spans="1:6" ht="20.25">
      <c r="A2867" s="572"/>
      <c r="B2867" s="573"/>
      <c r="C2867" s="573"/>
      <c r="D2867" s="573"/>
      <c r="E2867" s="574"/>
      <c r="F2867" s="575"/>
    </row>
    <row r="2868" spans="1:6" ht="20.25">
      <c r="A2868" s="572"/>
      <c r="B2868" s="573"/>
      <c r="C2868" s="573"/>
      <c r="D2868" s="573"/>
      <c r="E2868" s="574"/>
      <c r="F2868" s="575"/>
    </row>
    <row r="2869" spans="1:6" ht="20.25">
      <c r="A2869" s="572"/>
      <c r="B2869" s="573"/>
      <c r="C2869" s="573"/>
      <c r="D2869" s="573"/>
      <c r="E2869" s="574"/>
      <c r="F2869" s="575"/>
    </row>
    <row r="2870" spans="1:6" ht="20.25">
      <c r="A2870" s="572"/>
      <c r="B2870" s="573"/>
      <c r="C2870" s="573"/>
      <c r="D2870" s="573"/>
      <c r="E2870" s="574"/>
      <c r="F2870" s="575"/>
    </row>
    <row r="2871" spans="1:6" ht="20.25">
      <c r="A2871" s="572"/>
      <c r="B2871" s="573"/>
      <c r="C2871" s="573"/>
      <c r="D2871" s="573"/>
      <c r="E2871" s="574"/>
      <c r="F2871" s="575"/>
    </row>
    <row r="2872" spans="1:6" ht="20.25">
      <c r="A2872" s="572"/>
      <c r="B2872" s="573"/>
      <c r="C2872" s="573"/>
      <c r="D2872" s="573"/>
      <c r="E2872" s="574"/>
      <c r="F2872" s="575"/>
    </row>
    <row r="2873" spans="1:6" ht="20.25">
      <c r="A2873" s="572"/>
      <c r="B2873" s="573"/>
      <c r="C2873" s="573"/>
      <c r="D2873" s="573"/>
      <c r="E2873" s="574"/>
      <c r="F2873" s="575"/>
    </row>
    <row r="2874" spans="1:6" ht="20.25">
      <c r="A2874" s="572"/>
      <c r="B2874" s="573"/>
      <c r="C2874" s="573"/>
      <c r="D2874" s="573"/>
      <c r="E2874" s="574"/>
      <c r="F2874" s="575"/>
    </row>
    <row r="2875" spans="1:6" ht="20.25">
      <c r="A2875" s="572"/>
      <c r="B2875" s="573"/>
      <c r="C2875" s="573"/>
      <c r="D2875" s="573"/>
      <c r="E2875" s="574"/>
      <c r="F2875" s="575"/>
    </row>
    <row r="2876" spans="1:6" ht="20.25">
      <c r="A2876" s="572"/>
      <c r="B2876" s="573"/>
      <c r="C2876" s="573"/>
      <c r="D2876" s="573"/>
      <c r="E2876" s="574"/>
      <c r="F2876" s="575"/>
    </row>
    <row r="2877" spans="1:6" ht="20.25">
      <c r="A2877" s="572"/>
      <c r="B2877" s="573"/>
      <c r="C2877" s="573"/>
      <c r="D2877" s="573"/>
      <c r="E2877" s="574"/>
      <c r="F2877" s="575"/>
    </row>
    <row r="2878" spans="1:6" ht="20.25">
      <c r="A2878" s="572"/>
      <c r="B2878" s="573"/>
      <c r="C2878" s="573"/>
      <c r="D2878" s="573"/>
      <c r="E2878" s="574"/>
      <c r="F2878" s="575"/>
    </row>
    <row r="2879" spans="1:6" ht="20.25">
      <c r="A2879" s="572"/>
      <c r="B2879" s="573"/>
      <c r="C2879" s="573"/>
      <c r="D2879" s="573"/>
      <c r="E2879" s="574"/>
      <c r="F2879" s="575"/>
    </row>
    <row r="2880" spans="1:6" ht="20.25">
      <c r="A2880" s="572"/>
      <c r="B2880" s="573"/>
      <c r="C2880" s="573"/>
      <c r="D2880" s="573"/>
      <c r="E2880" s="574"/>
      <c r="F2880" s="575"/>
    </row>
    <row r="2881" spans="1:6" ht="20.25">
      <c r="A2881" s="572"/>
      <c r="B2881" s="573"/>
      <c r="C2881" s="573"/>
      <c r="D2881" s="573"/>
      <c r="E2881" s="574"/>
      <c r="F2881" s="575"/>
    </row>
    <row r="2882" spans="1:6" ht="20.25">
      <c r="A2882" s="572"/>
      <c r="B2882" s="573"/>
      <c r="C2882" s="573"/>
      <c r="D2882" s="573"/>
      <c r="E2882" s="574"/>
      <c r="F2882" s="575"/>
    </row>
    <row r="2883" spans="1:6" ht="20.25">
      <c r="A2883" s="572"/>
      <c r="B2883" s="573"/>
      <c r="C2883" s="573"/>
      <c r="D2883" s="573"/>
      <c r="E2883" s="574"/>
      <c r="F2883" s="575"/>
    </row>
    <row r="2884" spans="1:6" ht="20.25">
      <c r="A2884" s="572"/>
      <c r="B2884" s="573"/>
      <c r="C2884" s="573"/>
      <c r="D2884" s="573"/>
      <c r="E2884" s="574"/>
      <c r="F2884" s="575"/>
    </row>
    <row r="2885" spans="1:6" ht="20.25">
      <c r="A2885" s="572"/>
      <c r="B2885" s="573"/>
      <c r="C2885" s="573"/>
      <c r="D2885" s="573"/>
      <c r="E2885" s="574"/>
      <c r="F2885" s="575"/>
    </row>
    <row r="2886" spans="1:6" ht="20.25">
      <c r="A2886" s="572"/>
      <c r="B2886" s="573"/>
      <c r="C2886" s="573"/>
      <c r="D2886" s="573"/>
      <c r="E2886" s="574"/>
      <c r="F2886" s="575"/>
    </row>
    <row r="2887" spans="1:6" ht="20.25">
      <c r="A2887" s="572"/>
      <c r="B2887" s="573"/>
      <c r="C2887" s="573"/>
      <c r="D2887" s="573"/>
      <c r="E2887" s="574"/>
      <c r="F2887" s="575"/>
    </row>
    <row r="2888" spans="1:6" ht="20.25">
      <c r="A2888" s="572"/>
      <c r="B2888" s="573"/>
      <c r="C2888" s="573"/>
      <c r="D2888" s="573"/>
      <c r="E2888" s="574"/>
      <c r="F2888" s="575"/>
    </row>
    <row r="2889" spans="1:6" ht="20.25">
      <c r="A2889" s="572"/>
      <c r="B2889" s="573"/>
      <c r="C2889" s="573"/>
      <c r="D2889" s="573"/>
      <c r="E2889" s="574"/>
      <c r="F2889" s="575"/>
    </row>
    <row r="2890" spans="1:6" ht="20.25">
      <c r="A2890" s="572"/>
      <c r="B2890" s="573"/>
      <c r="C2890" s="573"/>
      <c r="D2890" s="573"/>
      <c r="E2890" s="574"/>
      <c r="F2890" s="575"/>
    </row>
    <row r="2891" spans="1:6" ht="20.25">
      <c r="A2891" s="572"/>
      <c r="B2891" s="573"/>
      <c r="C2891" s="573"/>
      <c r="D2891" s="573"/>
      <c r="E2891" s="574"/>
      <c r="F2891" s="575"/>
    </row>
    <row r="2892" spans="1:6" ht="20.25">
      <c r="A2892" s="572"/>
      <c r="B2892" s="573"/>
      <c r="C2892" s="573"/>
      <c r="D2892" s="573"/>
      <c r="E2892" s="574"/>
      <c r="F2892" s="575"/>
    </row>
    <row r="2893" spans="1:6" ht="20.25">
      <c r="A2893" s="572"/>
      <c r="B2893" s="573"/>
      <c r="C2893" s="573"/>
      <c r="D2893" s="573"/>
      <c r="E2893" s="574"/>
      <c r="F2893" s="575"/>
    </row>
    <row r="2894" spans="1:6" ht="20.25">
      <c r="A2894" s="572"/>
      <c r="B2894" s="573"/>
      <c r="C2894" s="573"/>
      <c r="D2894" s="573"/>
      <c r="E2894" s="574"/>
      <c r="F2894" s="575"/>
    </row>
    <row r="2895" spans="1:6" ht="20.25">
      <c r="A2895" s="572"/>
      <c r="B2895" s="573"/>
      <c r="C2895" s="573"/>
      <c r="D2895" s="573"/>
      <c r="E2895" s="574"/>
      <c r="F2895" s="575"/>
    </row>
    <row r="2896" spans="1:6" ht="20.25">
      <c r="A2896" s="572"/>
      <c r="B2896" s="573"/>
      <c r="C2896" s="573"/>
      <c r="D2896" s="573"/>
      <c r="E2896" s="574"/>
      <c r="F2896" s="575"/>
    </row>
    <row r="2897" spans="1:6" ht="20.25">
      <c r="A2897" s="572"/>
      <c r="B2897" s="573"/>
      <c r="C2897" s="573"/>
      <c r="D2897" s="573"/>
      <c r="E2897" s="574"/>
      <c r="F2897" s="575"/>
    </row>
    <row r="2898" spans="1:6" ht="20.25">
      <c r="A2898" s="572"/>
      <c r="B2898" s="573"/>
      <c r="C2898" s="573"/>
      <c r="D2898" s="573"/>
      <c r="E2898" s="574"/>
      <c r="F2898" s="575"/>
    </row>
    <row r="2899" spans="1:6" ht="20.25">
      <c r="A2899" s="572"/>
      <c r="B2899" s="573"/>
      <c r="C2899" s="573"/>
      <c r="D2899" s="573"/>
      <c r="E2899" s="574"/>
      <c r="F2899" s="575"/>
    </row>
    <row r="2900" spans="1:6" ht="20.25">
      <c r="A2900" s="572"/>
      <c r="B2900" s="573"/>
      <c r="C2900" s="573"/>
      <c r="D2900" s="573"/>
      <c r="E2900" s="574"/>
      <c r="F2900" s="575"/>
    </row>
    <row r="2901" spans="1:6" ht="20.25">
      <c r="A2901" s="572"/>
      <c r="B2901" s="573"/>
      <c r="C2901" s="573"/>
      <c r="D2901" s="573"/>
      <c r="E2901" s="574"/>
      <c r="F2901" s="575"/>
    </row>
    <row r="2902" spans="1:6" ht="20.25">
      <c r="A2902" s="572"/>
      <c r="B2902" s="573"/>
      <c r="C2902" s="573"/>
      <c r="D2902" s="573"/>
      <c r="E2902" s="574"/>
      <c r="F2902" s="575"/>
    </row>
    <row r="2903" spans="1:6" ht="20.25">
      <c r="A2903" s="572"/>
      <c r="B2903" s="573"/>
      <c r="C2903" s="573"/>
      <c r="D2903" s="573"/>
      <c r="E2903" s="574"/>
      <c r="F2903" s="575"/>
    </row>
    <row r="2904" spans="1:6" ht="20.25">
      <c r="A2904" s="572"/>
      <c r="B2904" s="573"/>
      <c r="C2904" s="573"/>
      <c r="D2904" s="573"/>
      <c r="E2904" s="574"/>
      <c r="F2904" s="575"/>
    </row>
    <row r="2905" spans="1:6" ht="20.25">
      <c r="A2905" s="572"/>
      <c r="B2905" s="573"/>
      <c r="C2905" s="573"/>
      <c r="D2905" s="573"/>
      <c r="E2905" s="574"/>
      <c r="F2905" s="575"/>
    </row>
    <row r="2906" spans="1:6" ht="20.25">
      <c r="A2906" s="572"/>
      <c r="B2906" s="573"/>
      <c r="C2906" s="573"/>
      <c r="D2906" s="573"/>
      <c r="E2906" s="574"/>
      <c r="F2906" s="575"/>
    </row>
    <row r="2907" spans="1:6" ht="20.25">
      <c r="A2907" s="572"/>
      <c r="B2907" s="573"/>
      <c r="C2907" s="573"/>
      <c r="D2907" s="573"/>
      <c r="E2907" s="574"/>
      <c r="F2907" s="575"/>
    </row>
    <row r="2908" spans="1:6" ht="20.25">
      <c r="A2908" s="572"/>
      <c r="B2908" s="573"/>
      <c r="C2908" s="573"/>
      <c r="D2908" s="573"/>
      <c r="E2908" s="574"/>
      <c r="F2908" s="575"/>
    </row>
    <row r="2909" spans="1:6" ht="20.25">
      <c r="A2909" s="572"/>
      <c r="B2909" s="573"/>
      <c r="C2909" s="573"/>
      <c r="D2909" s="573"/>
      <c r="E2909" s="574"/>
      <c r="F2909" s="575"/>
    </row>
    <row r="2910" spans="1:6" ht="20.25">
      <c r="A2910" s="572"/>
      <c r="B2910" s="573"/>
      <c r="C2910" s="573"/>
      <c r="D2910" s="573"/>
      <c r="E2910" s="574"/>
      <c r="F2910" s="575"/>
    </row>
    <row r="2911" spans="1:6" ht="20.25">
      <c r="A2911" s="572"/>
      <c r="B2911" s="573"/>
      <c r="C2911" s="573"/>
      <c r="D2911" s="573"/>
      <c r="E2911" s="574"/>
      <c r="F2911" s="575"/>
    </row>
    <row r="2912" spans="1:6" ht="20.25">
      <c r="A2912" s="572"/>
      <c r="B2912" s="573"/>
      <c r="C2912" s="573"/>
      <c r="D2912" s="573"/>
      <c r="E2912" s="574"/>
      <c r="F2912" s="575"/>
    </row>
    <row r="2913" spans="1:6" ht="20.25">
      <c r="A2913" s="572"/>
      <c r="B2913" s="573"/>
      <c r="C2913" s="573"/>
      <c r="D2913" s="573"/>
      <c r="E2913" s="574"/>
      <c r="F2913" s="575"/>
    </row>
    <row r="2914" spans="1:6" ht="20.25">
      <c r="A2914" s="572"/>
      <c r="B2914" s="573"/>
      <c r="C2914" s="573"/>
      <c r="D2914" s="573"/>
      <c r="E2914" s="574"/>
      <c r="F2914" s="575"/>
    </row>
    <row r="2915" spans="1:6" ht="20.25">
      <c r="A2915" s="572"/>
      <c r="B2915" s="573"/>
      <c r="C2915" s="573"/>
      <c r="D2915" s="573"/>
      <c r="E2915" s="574"/>
      <c r="F2915" s="575"/>
    </row>
    <row r="2916" spans="1:6" ht="20.25">
      <c r="A2916" s="572"/>
      <c r="B2916" s="573"/>
      <c r="C2916" s="573"/>
      <c r="D2916" s="573"/>
      <c r="E2916" s="574"/>
      <c r="F2916" s="575"/>
    </row>
    <row r="2917" spans="1:6" ht="20.25">
      <c r="A2917" s="572"/>
      <c r="B2917" s="573"/>
      <c r="C2917" s="573"/>
      <c r="D2917" s="573"/>
      <c r="E2917" s="574"/>
      <c r="F2917" s="575"/>
    </row>
    <row r="2918" spans="1:6" ht="20.25">
      <c r="A2918" s="572"/>
      <c r="B2918" s="573"/>
      <c r="C2918" s="573"/>
      <c r="D2918" s="573"/>
      <c r="E2918" s="574"/>
      <c r="F2918" s="575"/>
    </row>
    <row r="2919" spans="1:6" ht="20.25">
      <c r="A2919" s="572"/>
      <c r="B2919" s="573"/>
      <c r="C2919" s="573"/>
      <c r="D2919" s="573"/>
      <c r="E2919" s="574"/>
      <c r="F2919" s="575"/>
    </row>
    <row r="2920" spans="1:6" ht="20.25">
      <c r="A2920" s="572"/>
      <c r="B2920" s="573"/>
      <c r="C2920" s="573"/>
      <c r="D2920" s="573"/>
      <c r="E2920" s="574"/>
      <c r="F2920" s="575"/>
    </row>
    <row r="2921" spans="1:6" ht="20.25">
      <c r="A2921" s="572"/>
      <c r="B2921" s="573"/>
      <c r="C2921" s="573"/>
      <c r="D2921" s="573"/>
      <c r="E2921" s="574"/>
      <c r="F2921" s="575"/>
    </row>
    <row r="2922" spans="1:6" ht="20.25">
      <c r="A2922" s="572"/>
      <c r="B2922" s="573"/>
      <c r="C2922" s="573"/>
      <c r="D2922" s="573"/>
      <c r="E2922" s="574"/>
      <c r="F2922" s="575"/>
    </row>
    <row r="2923" spans="1:6" ht="20.25">
      <c r="A2923" s="572"/>
      <c r="B2923" s="573"/>
      <c r="C2923" s="573"/>
      <c r="D2923" s="573"/>
      <c r="E2923" s="574"/>
      <c r="F2923" s="575"/>
    </row>
    <row r="2924" spans="1:6" ht="20.25">
      <c r="A2924" s="572"/>
      <c r="B2924" s="573"/>
      <c r="C2924" s="573"/>
      <c r="D2924" s="573"/>
      <c r="E2924" s="574"/>
      <c r="F2924" s="575"/>
    </row>
    <row r="2925" spans="1:6" ht="20.25">
      <c r="A2925" s="572"/>
      <c r="B2925" s="573"/>
      <c r="C2925" s="573"/>
      <c r="D2925" s="573"/>
      <c r="E2925" s="574"/>
      <c r="F2925" s="575"/>
    </row>
    <row r="2926" spans="1:6" ht="20.25">
      <c r="A2926" s="572"/>
      <c r="B2926" s="573"/>
      <c r="C2926" s="573"/>
      <c r="D2926" s="573"/>
      <c r="E2926" s="574"/>
      <c r="F2926" s="575"/>
    </row>
    <row r="2927" spans="1:6" ht="20.25">
      <c r="A2927" s="572"/>
      <c r="B2927" s="573"/>
      <c r="C2927" s="573"/>
      <c r="D2927" s="573"/>
      <c r="E2927" s="574"/>
      <c r="F2927" s="575"/>
    </row>
    <row r="2928" ht="20.25">
      <c r="C2928" s="573"/>
    </row>
  </sheetData>
  <sheetProtection/>
  <mergeCells count="4">
    <mergeCell ref="B1:I1"/>
    <mergeCell ref="J154:N154"/>
    <mergeCell ref="D2:F2"/>
    <mergeCell ref="D3:F3"/>
  </mergeCells>
  <printOptions/>
  <pageMargins left="0.5" right="0.5" top="0.95" bottom="0.5" header="0.5" footer="0.5"/>
  <pageSetup fitToHeight="0" fitToWidth="1" horizontalDpi="600" verticalDpi="600" orientation="portrait" scale="43" r:id="rId1"/>
  <headerFooter alignWithMargins="0">
    <oddHeader>&amp;R&amp;14Exhibit 1
Page &amp;P of &amp;N</oddHeader>
  </headerFooter>
  <rowBreaks count="4" manualBreakCount="4">
    <brk id="63" max="8" man="1"/>
    <brk id="124" max="8" man="1"/>
    <brk id="184" max="8" man="1"/>
    <brk id="255" max="8" man="1"/>
  </rowBreaks>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S71"/>
  <sheetViews>
    <sheetView showGridLines="0" zoomScale="75" zoomScaleNormal="75" workbookViewId="0" topLeftCell="A1">
      <pane ySplit="7" topLeftCell="A8" activePane="bottomLeft" state="frozen"/>
      <selection pane="topLeft" activeCell="J149" sqref="J149"/>
      <selection pane="bottomLeft" activeCell="A8" sqref="A8"/>
    </sheetView>
  </sheetViews>
  <sheetFormatPr defaultColWidth="9.140625" defaultRowHeight="12.75"/>
  <cols>
    <col min="1" max="1" width="9.140625" style="998" customWidth="1"/>
    <col min="2" max="2" width="24.8515625" style="998" customWidth="1"/>
    <col min="3" max="3" width="42.28125" style="998" customWidth="1"/>
    <col min="4" max="4" width="10.8515625" style="1004" customWidth="1"/>
    <col min="5" max="5" width="9.140625" style="1004" customWidth="1"/>
    <col min="6" max="6" width="9.140625" style="998" customWidth="1"/>
    <col min="7" max="7" width="11.140625" style="988" bestFit="1" customWidth="1"/>
    <col min="8" max="8" width="17.28125" style="989" bestFit="1" customWidth="1"/>
    <col min="9" max="9" width="15.7109375" style="998" customWidth="1"/>
    <col min="10" max="10" width="14.00390625" style="998" bestFit="1" customWidth="1"/>
    <col min="11" max="11" width="15.7109375" style="998" bestFit="1" customWidth="1"/>
    <col min="12" max="12" width="13.7109375" style="981" bestFit="1" customWidth="1"/>
    <col min="13" max="13" width="9.140625" style="998" customWidth="1"/>
    <col min="14" max="14" width="12.7109375" style="998" bestFit="1" customWidth="1"/>
    <col min="15" max="15" width="12.8515625" style="998" bestFit="1" customWidth="1"/>
    <col min="16" max="16" width="12.7109375" style="998" bestFit="1" customWidth="1"/>
    <col min="17" max="17" width="12.140625" style="998" bestFit="1" customWidth="1"/>
    <col min="18" max="19" width="9.140625" style="998" customWidth="1"/>
    <col min="20" max="16384" width="9.140625" style="998" customWidth="1"/>
  </cols>
  <sheetData>
    <row r="1" spans="1:12" ht="15.75">
      <c r="A1" s="1167" t="s">
        <v>189</v>
      </c>
      <c r="B1" s="1167"/>
      <c r="C1" s="1167"/>
      <c r="D1" s="1167"/>
      <c r="E1" s="1167"/>
      <c r="F1" s="1167"/>
      <c r="G1" s="1167"/>
      <c r="H1" s="1167"/>
      <c r="I1" s="1167"/>
      <c r="J1" s="1167"/>
      <c r="K1" s="1167"/>
      <c r="L1" s="1167"/>
    </row>
    <row r="2" spans="1:10" ht="15.75">
      <c r="A2" s="999"/>
      <c r="B2" s="1000"/>
      <c r="C2" s="1000"/>
      <c r="D2" s="1001"/>
      <c r="E2" s="1002"/>
      <c r="F2" s="1000"/>
      <c r="G2" s="979"/>
      <c r="H2" s="980"/>
      <c r="J2" s="1003"/>
    </row>
    <row r="3" spans="1:12" ht="15.75">
      <c r="A3" s="1167" t="s">
        <v>42</v>
      </c>
      <c r="B3" s="1167"/>
      <c r="C3" s="1167"/>
      <c r="D3" s="1167"/>
      <c r="E3" s="1167"/>
      <c r="F3" s="1167"/>
      <c r="G3" s="1167"/>
      <c r="H3" s="1167"/>
      <c r="I3" s="1167"/>
      <c r="J3" s="1167"/>
      <c r="K3" s="1167"/>
      <c r="L3" s="1167"/>
    </row>
    <row r="4" spans="1:12" ht="12.75">
      <c r="A4" s="1004" t="s">
        <v>310</v>
      </c>
      <c r="B4" s="1004" t="s">
        <v>311</v>
      </c>
      <c r="C4" s="1004"/>
      <c r="D4" s="1004" t="s">
        <v>658</v>
      </c>
      <c r="E4" s="1004" t="s">
        <v>116</v>
      </c>
      <c r="F4" s="1004" t="s">
        <v>117</v>
      </c>
      <c r="G4" s="982" t="s">
        <v>118</v>
      </c>
      <c r="H4" s="983" t="s">
        <v>119</v>
      </c>
      <c r="I4" s="1004" t="s">
        <v>120</v>
      </c>
      <c r="J4" s="1004" t="s">
        <v>121</v>
      </c>
      <c r="K4" s="1004" t="s">
        <v>122</v>
      </c>
      <c r="L4" s="984" t="s">
        <v>123</v>
      </c>
    </row>
    <row r="5" spans="6:12" ht="12.75">
      <c r="F5" s="1004"/>
      <c r="G5" s="982"/>
      <c r="H5" s="983"/>
      <c r="I5" s="1004" t="s">
        <v>659</v>
      </c>
      <c r="J5" s="1004" t="s">
        <v>660</v>
      </c>
      <c r="K5" s="1004" t="s">
        <v>661</v>
      </c>
      <c r="L5" s="984" t="s">
        <v>51</v>
      </c>
    </row>
    <row r="6" spans="1:12" ht="12.75">
      <c r="A6" s="1004"/>
      <c r="D6" s="1004" t="s">
        <v>662</v>
      </c>
      <c r="E6" s="1004" t="s">
        <v>663</v>
      </c>
      <c r="F6" s="1004" t="s">
        <v>664</v>
      </c>
      <c r="G6" s="982" t="s">
        <v>665</v>
      </c>
      <c r="H6" s="983" t="s">
        <v>697</v>
      </c>
      <c r="I6" s="1004" t="s">
        <v>666</v>
      </c>
      <c r="J6" s="1004" t="s">
        <v>51</v>
      </c>
      <c r="K6" s="1004" t="s">
        <v>222</v>
      </c>
      <c r="L6" s="984" t="s">
        <v>667</v>
      </c>
    </row>
    <row r="7" spans="1:12" ht="12.75">
      <c r="A7" s="1005" t="s">
        <v>273</v>
      </c>
      <c r="B7" s="1005" t="s">
        <v>43</v>
      </c>
      <c r="C7" s="1006"/>
      <c r="D7" s="1005" t="s">
        <v>28</v>
      </c>
      <c r="E7" s="1005" t="s">
        <v>668</v>
      </c>
      <c r="F7" s="1007" t="s">
        <v>669</v>
      </c>
      <c r="G7" s="985" t="s">
        <v>28</v>
      </c>
      <c r="H7" s="986" t="s">
        <v>698</v>
      </c>
      <c r="I7" s="1005" t="s">
        <v>670</v>
      </c>
      <c r="J7" s="1005" t="s">
        <v>670</v>
      </c>
      <c r="K7" s="1005" t="s">
        <v>670</v>
      </c>
      <c r="L7" s="987" t="s">
        <v>670</v>
      </c>
    </row>
    <row r="8" ht="12.75"/>
    <row r="9" ht="12.75">
      <c r="B9" s="1008" t="s">
        <v>736</v>
      </c>
    </row>
    <row r="10" spans="1:12" ht="12.75">
      <c r="A10" s="1009">
        <v>350.4</v>
      </c>
      <c r="B10" s="1010" t="s">
        <v>281</v>
      </c>
      <c r="D10" s="1011">
        <v>75</v>
      </c>
      <c r="E10" s="1012" t="s">
        <v>502</v>
      </c>
      <c r="F10" s="1013">
        <f>D10-G10</f>
        <v>14.799999999999997</v>
      </c>
      <c r="G10" s="1014">
        <v>60.2</v>
      </c>
      <c r="H10" s="1015">
        <v>1.65282987045333</v>
      </c>
      <c r="I10" s="1016">
        <v>175445096</v>
      </c>
      <c r="J10" s="1016">
        <v>43970444</v>
      </c>
      <c r="K10" s="1017">
        <f aca="true" t="shared" si="0" ref="K10:K20">+I10-J10</f>
        <v>131474652</v>
      </c>
      <c r="L10" s="1003">
        <f aca="true" t="shared" si="1" ref="L10:L16">(H10*K10)/100</f>
        <v>2173052.3203305663</v>
      </c>
    </row>
    <row r="11" spans="1:12" ht="12.75">
      <c r="A11" s="1009">
        <v>352</v>
      </c>
      <c r="B11" s="1010" t="s">
        <v>45</v>
      </c>
      <c r="D11" s="1011">
        <v>60</v>
      </c>
      <c r="E11" s="1012" t="s">
        <v>671</v>
      </c>
      <c r="F11" s="1013">
        <f aca="true" t="shared" si="2" ref="F11:F20">D11-G11</f>
        <v>10.5</v>
      </c>
      <c r="G11" s="1014">
        <v>49.5</v>
      </c>
      <c r="H11" s="1015">
        <v>1.6890338700391299</v>
      </c>
      <c r="I11" s="1016">
        <v>74458075</v>
      </c>
      <c r="J11" s="1016">
        <v>18232215</v>
      </c>
      <c r="K11" s="1017">
        <f t="shared" si="0"/>
        <v>56225860</v>
      </c>
      <c r="L11" s="1003">
        <f t="shared" si="1"/>
        <v>949673.819120783</v>
      </c>
    </row>
    <row r="12" spans="1:12" ht="12.75">
      <c r="A12" s="1009">
        <v>353</v>
      </c>
      <c r="B12" s="1010" t="s">
        <v>274</v>
      </c>
      <c r="D12" s="1011">
        <v>48</v>
      </c>
      <c r="E12" s="1012" t="s">
        <v>672</v>
      </c>
      <c r="F12" s="1013">
        <f t="shared" si="2"/>
        <v>6.700000000000003</v>
      </c>
      <c r="G12" s="1014">
        <v>41.3</v>
      </c>
      <c r="H12" s="1015">
        <v>2.1893177853013297</v>
      </c>
      <c r="I12" s="1016">
        <v>981604463</v>
      </c>
      <c r="J12" s="1016">
        <v>183386151</v>
      </c>
      <c r="K12" s="1017">
        <f t="shared" si="0"/>
        <v>798218312</v>
      </c>
      <c r="L12" s="1003">
        <f t="shared" si="1"/>
        <v>17475535.470148057</v>
      </c>
    </row>
    <row r="13" spans="1:12" ht="12.75">
      <c r="A13" s="1009">
        <v>354</v>
      </c>
      <c r="B13" s="1010" t="s">
        <v>275</v>
      </c>
      <c r="D13" s="1011">
        <v>70</v>
      </c>
      <c r="E13" s="1012" t="s">
        <v>673</v>
      </c>
      <c r="F13" s="1013">
        <f t="shared" si="2"/>
        <v>6.299999999999997</v>
      </c>
      <c r="G13" s="1014">
        <v>63.7</v>
      </c>
      <c r="H13" s="1015">
        <v>1.2748039793659</v>
      </c>
      <c r="I13" s="1016">
        <v>1191079050</v>
      </c>
      <c r="J13" s="1016">
        <v>150061741</v>
      </c>
      <c r="K13" s="1017">
        <f t="shared" si="0"/>
        <v>1041017309</v>
      </c>
      <c r="L13" s="1003">
        <f t="shared" si="1"/>
        <v>13270930.08101981</v>
      </c>
    </row>
    <row r="14" spans="1:12" ht="12.75">
      <c r="A14" s="1009">
        <v>354.2</v>
      </c>
      <c r="B14" s="1010" t="s">
        <v>282</v>
      </c>
      <c r="D14" s="1011">
        <v>75</v>
      </c>
      <c r="E14" s="1012" t="s">
        <v>671</v>
      </c>
      <c r="F14" s="1013">
        <f t="shared" si="2"/>
        <v>19.200000000000003</v>
      </c>
      <c r="G14" s="1014">
        <v>55.8</v>
      </c>
      <c r="H14" s="1015">
        <v>1.65327149519259</v>
      </c>
      <c r="I14" s="1016">
        <v>16041963</v>
      </c>
      <c r="J14" s="1016">
        <v>7264037</v>
      </c>
      <c r="K14" s="1017">
        <f t="shared" si="0"/>
        <v>8777926</v>
      </c>
      <c r="L14" s="1003">
        <f t="shared" si="1"/>
        <v>145122.9484270991</v>
      </c>
    </row>
    <row r="15" spans="1:12" ht="12.75">
      <c r="A15" s="1009">
        <v>355</v>
      </c>
      <c r="B15" s="1010" t="s">
        <v>276</v>
      </c>
      <c r="D15" s="1011">
        <v>55</v>
      </c>
      <c r="E15" s="1012" t="s">
        <v>765</v>
      </c>
      <c r="F15" s="1013">
        <f t="shared" si="2"/>
        <v>11.399999999999999</v>
      </c>
      <c r="G15" s="1014">
        <v>43.6</v>
      </c>
      <c r="H15" s="1015">
        <v>2.12828538369461</v>
      </c>
      <c r="I15" s="1016">
        <v>121538619</v>
      </c>
      <c r="J15" s="1016">
        <v>34560580</v>
      </c>
      <c r="K15" s="1017">
        <f t="shared" si="0"/>
        <v>86978039</v>
      </c>
      <c r="L15" s="1003">
        <f t="shared" si="1"/>
        <v>1851140.8910611975</v>
      </c>
    </row>
    <row r="16" spans="1:12" ht="12.75">
      <c r="A16" s="1009">
        <v>355.2</v>
      </c>
      <c r="B16" s="1010" t="s">
        <v>283</v>
      </c>
      <c r="D16" s="1011">
        <v>75</v>
      </c>
      <c r="E16" s="1012" t="s">
        <v>671</v>
      </c>
      <c r="F16" s="1013">
        <f t="shared" si="2"/>
        <v>17.200000000000003</v>
      </c>
      <c r="G16" s="1014">
        <v>57.8</v>
      </c>
      <c r="H16" s="1015">
        <v>1.84189706591446</v>
      </c>
      <c r="I16" s="1016">
        <v>11195171</v>
      </c>
      <c r="J16" s="1016">
        <v>4201917</v>
      </c>
      <c r="K16" s="1017">
        <f t="shared" si="0"/>
        <v>6993254</v>
      </c>
      <c r="L16" s="1003">
        <f t="shared" si="1"/>
        <v>128808.54023794562</v>
      </c>
    </row>
    <row r="17" spans="1:12" ht="12.75">
      <c r="A17" s="1009">
        <v>356</v>
      </c>
      <c r="B17" s="1010" t="s">
        <v>277</v>
      </c>
      <c r="D17" s="1011">
        <v>60</v>
      </c>
      <c r="E17" s="1012" t="s">
        <v>673</v>
      </c>
      <c r="F17" s="1013">
        <f t="shared" si="2"/>
        <v>8.899999999999999</v>
      </c>
      <c r="G17" s="1014">
        <v>51.1</v>
      </c>
      <c r="H17" s="1015">
        <v>1.54791751145212</v>
      </c>
      <c r="I17" s="1016">
        <v>635355306</v>
      </c>
      <c r="J17" s="1016">
        <v>106485572</v>
      </c>
      <c r="K17" s="1017">
        <f t="shared" si="0"/>
        <v>528869734</v>
      </c>
      <c r="L17" s="1003">
        <f>(H17*K17)/100</f>
        <v>8186467.225356246</v>
      </c>
    </row>
    <row r="18" spans="1:12" ht="12.75">
      <c r="A18" s="1009">
        <v>357</v>
      </c>
      <c r="B18" s="1010" t="s">
        <v>278</v>
      </c>
      <c r="D18" s="1011">
        <v>55</v>
      </c>
      <c r="E18" s="1012" t="s">
        <v>502</v>
      </c>
      <c r="F18" s="1013">
        <f t="shared" si="2"/>
        <v>5.100000000000001</v>
      </c>
      <c r="G18" s="1014">
        <v>49.9</v>
      </c>
      <c r="H18" s="1015">
        <v>1.81543182977713</v>
      </c>
      <c r="I18" s="1016">
        <v>36252635</v>
      </c>
      <c r="J18" s="1016">
        <v>3439055</v>
      </c>
      <c r="K18" s="1017">
        <f t="shared" si="0"/>
        <v>32813580</v>
      </c>
      <c r="L18" s="1003">
        <f>(H18*K18)/100</f>
        <v>595708.1758093823</v>
      </c>
    </row>
    <row r="19" spans="1:12" ht="12.75">
      <c r="A19" s="1009">
        <v>358</v>
      </c>
      <c r="B19" s="1010" t="s">
        <v>279</v>
      </c>
      <c r="D19" s="1011">
        <v>35</v>
      </c>
      <c r="E19" s="1012" t="s">
        <v>502</v>
      </c>
      <c r="F19" s="1013">
        <f t="shared" si="2"/>
        <v>11.8</v>
      </c>
      <c r="G19" s="1014">
        <v>23.2</v>
      </c>
      <c r="H19" s="1015">
        <v>4.27970341023047</v>
      </c>
      <c r="I19" s="1016">
        <v>30219684</v>
      </c>
      <c r="J19" s="1016">
        <v>9933481</v>
      </c>
      <c r="K19" s="1017">
        <f t="shared" si="0"/>
        <v>20286203</v>
      </c>
      <c r="L19" s="1003">
        <f>(H19*K19)/100</f>
        <v>868189.3215972759</v>
      </c>
    </row>
    <row r="20" spans="1:17" ht="12.75">
      <c r="A20" s="1009">
        <v>359</v>
      </c>
      <c r="B20" s="1010" t="s">
        <v>280</v>
      </c>
      <c r="D20" s="1011">
        <v>75</v>
      </c>
      <c r="E20" s="1012" t="s">
        <v>671</v>
      </c>
      <c r="F20" s="1013">
        <f t="shared" si="2"/>
        <v>22.299999999999997</v>
      </c>
      <c r="G20" s="1014">
        <v>52.7</v>
      </c>
      <c r="H20" s="1015">
        <v>2.0113258007641</v>
      </c>
      <c r="I20" s="1016">
        <v>8856527</v>
      </c>
      <c r="J20" s="1016">
        <v>3204301</v>
      </c>
      <c r="K20" s="1017">
        <f t="shared" si="0"/>
        <v>5652226</v>
      </c>
      <c r="L20" s="1003">
        <f>(H20*K20)/100</f>
        <v>113684.67985549667</v>
      </c>
      <c r="N20" s="1003"/>
      <c r="O20" s="1003"/>
      <c r="P20" s="1003"/>
      <c r="Q20" s="1071"/>
    </row>
    <row r="21" spans="4:16" ht="12.75">
      <c r="D21" s="1011"/>
      <c r="E21" s="1012"/>
      <c r="F21" s="1018"/>
      <c r="G21" s="990"/>
      <c r="H21" s="991"/>
      <c r="I21" s="1019"/>
      <c r="J21" s="1019"/>
      <c r="K21" s="1020"/>
      <c r="L21" s="992"/>
      <c r="N21" s="1021"/>
      <c r="O21" s="1003"/>
      <c r="P21" s="1021"/>
    </row>
    <row r="22" spans="2:12" ht="12.75">
      <c r="B22" s="1008" t="s">
        <v>44</v>
      </c>
      <c r="D22" s="1011"/>
      <c r="E22" s="1012"/>
      <c r="F22" s="1018"/>
      <c r="G22" s="990"/>
      <c r="H22" s="991"/>
      <c r="I22" s="1022"/>
      <c r="J22" s="1023"/>
      <c r="K22" s="1024"/>
      <c r="L22" s="992"/>
    </row>
    <row r="23" spans="1:12" ht="12.75">
      <c r="A23" s="1009">
        <v>389.4</v>
      </c>
      <c r="B23" s="1025" t="s">
        <v>281</v>
      </c>
      <c r="D23" s="1011">
        <v>70</v>
      </c>
      <c r="E23" s="1012" t="s">
        <v>671</v>
      </c>
      <c r="F23" s="1013">
        <f>D23-G23</f>
        <v>42.6</v>
      </c>
      <c r="G23" s="1014">
        <v>27.4</v>
      </c>
      <c r="H23" s="1026">
        <v>3.26360182688688</v>
      </c>
      <c r="I23" s="1027">
        <v>4399</v>
      </c>
      <c r="J23" s="1027">
        <v>1769</v>
      </c>
      <c r="K23" s="1028">
        <f aca="true" t="shared" si="3" ref="K23:K46">+I23-J23</f>
        <v>2630</v>
      </c>
      <c r="L23" s="1003">
        <f>(H23*K23)/100</f>
        <v>85.83272804712495</v>
      </c>
    </row>
    <row r="24" spans="1:12" ht="12.75">
      <c r="A24" s="1009">
        <v>390.2</v>
      </c>
      <c r="B24" s="1025" t="s">
        <v>766</v>
      </c>
      <c r="D24" s="1011">
        <v>55</v>
      </c>
      <c r="E24" s="1012" t="s">
        <v>674</v>
      </c>
      <c r="F24" s="1013">
        <f>D24-G24</f>
        <v>39.9</v>
      </c>
      <c r="G24" s="1014">
        <v>15.1</v>
      </c>
      <c r="H24" s="1026">
        <v>2.8970381289268596</v>
      </c>
      <c r="I24" s="1029">
        <v>381060295</v>
      </c>
      <c r="J24" s="1029">
        <v>89191104</v>
      </c>
      <c r="K24" s="1028">
        <f t="shared" si="3"/>
        <v>291869191</v>
      </c>
      <c r="L24" s="1003">
        <f>(H24*K24)/100</f>
        <v>8455561.749860361</v>
      </c>
    </row>
    <row r="25" spans="1:12" ht="12.75">
      <c r="A25" s="1009">
        <v>390.21</v>
      </c>
      <c r="B25" s="1025" t="s">
        <v>501</v>
      </c>
      <c r="D25" s="1011">
        <v>10</v>
      </c>
      <c r="E25" s="1012" t="s">
        <v>675</v>
      </c>
      <c r="F25" s="1013"/>
      <c r="G25" s="1014">
        <v>4.8</v>
      </c>
      <c r="H25" s="1026">
        <v>20.5851</v>
      </c>
      <c r="I25" s="1029">
        <v>909524</v>
      </c>
      <c r="J25" s="1029">
        <v>528790</v>
      </c>
      <c r="K25" s="1028">
        <f t="shared" si="3"/>
        <v>380734</v>
      </c>
      <c r="L25" s="1003">
        <f>(H25*K25)/100</f>
        <v>78374.474634</v>
      </c>
    </row>
    <row r="26" spans="1:12" ht="12.75">
      <c r="A26" s="1009">
        <v>390.4</v>
      </c>
      <c r="B26" s="1025" t="s">
        <v>285</v>
      </c>
      <c r="D26" s="1011">
        <v>30</v>
      </c>
      <c r="E26" s="1012" t="s">
        <v>781</v>
      </c>
      <c r="F26" s="1013">
        <f>D26-G26</f>
        <v>8.2</v>
      </c>
      <c r="G26" s="1014">
        <v>21.8</v>
      </c>
      <c r="H26" s="1026">
        <v>4.56690651487817</v>
      </c>
      <c r="I26" s="1029">
        <v>45770095</v>
      </c>
      <c r="J26" s="1029">
        <v>14292733</v>
      </c>
      <c r="K26" s="1028">
        <f t="shared" si="3"/>
        <v>31477362</v>
      </c>
      <c r="L26" s="1003">
        <f>(H26*K26)/100</f>
        <v>1437541.6958897852</v>
      </c>
    </row>
    <row r="27" spans="1:12" ht="12.75">
      <c r="A27" s="1009">
        <v>391.2</v>
      </c>
      <c r="B27" s="1025" t="s">
        <v>286</v>
      </c>
      <c r="D27" s="1011">
        <v>20</v>
      </c>
      <c r="E27" s="1012" t="s">
        <v>675</v>
      </c>
      <c r="F27" s="1030"/>
      <c r="G27" s="1014">
        <v>11</v>
      </c>
      <c r="H27" s="1031">
        <v>5.05167870474467</v>
      </c>
      <c r="I27" s="1029">
        <v>22514546</v>
      </c>
      <c r="J27" s="1029">
        <v>9245711</v>
      </c>
      <c r="K27" s="1028">
        <f t="shared" si="3"/>
        <v>13268835</v>
      </c>
      <c r="L27" s="1003">
        <f>(H27*I27)/100</f>
        <v>1137362.5257519428</v>
      </c>
    </row>
    <row r="28" spans="1:12" ht="12.75">
      <c r="A28" s="1032">
        <v>391.4</v>
      </c>
      <c r="B28" s="1033" t="s">
        <v>767</v>
      </c>
      <c r="C28" s="1018"/>
      <c r="D28" s="1011">
        <v>15</v>
      </c>
      <c r="E28" s="1012" t="s">
        <v>675</v>
      </c>
      <c r="F28" s="1030"/>
      <c r="G28" s="1014">
        <v>7.7</v>
      </c>
      <c r="H28" s="1031">
        <v>6.5573734903947605</v>
      </c>
      <c r="I28" s="1029">
        <v>2952748</v>
      </c>
      <c r="J28" s="1029">
        <v>1296273</v>
      </c>
      <c r="K28" s="1028">
        <f>+I28-J28</f>
        <v>1656475</v>
      </c>
      <c r="L28" s="1003">
        <f>(H28*I28)/100</f>
        <v>193622.7145901615</v>
      </c>
    </row>
    <row r="29" spans="1:12" ht="12.75">
      <c r="A29" s="1032">
        <v>391.6</v>
      </c>
      <c r="B29" s="1033" t="s">
        <v>768</v>
      </c>
      <c r="C29" s="1018"/>
      <c r="D29" s="1011">
        <v>5</v>
      </c>
      <c r="E29" s="1012" t="s">
        <v>675</v>
      </c>
      <c r="F29" s="1030"/>
      <c r="G29" s="1014">
        <v>3.6</v>
      </c>
      <c r="H29" s="1031">
        <v>13.507499940525399</v>
      </c>
      <c r="I29" s="1029">
        <v>19723558</v>
      </c>
      <c r="J29" s="1029">
        <v>3459485</v>
      </c>
      <c r="K29" s="1028">
        <f t="shared" si="3"/>
        <v>16264073</v>
      </c>
      <c r="L29" s="1003">
        <f>(H29*I29)/100</f>
        <v>2664159.585119493</v>
      </c>
    </row>
    <row r="30" spans="1:12" ht="12.75">
      <c r="A30" s="1032">
        <v>391.8</v>
      </c>
      <c r="B30" s="1033" t="s">
        <v>769</v>
      </c>
      <c r="C30" s="1018"/>
      <c r="D30" s="1011">
        <v>7</v>
      </c>
      <c r="E30" s="1012" t="s">
        <v>675</v>
      </c>
      <c r="F30" s="1030"/>
      <c r="G30" s="1014">
        <v>0</v>
      </c>
      <c r="H30" s="1031">
        <v>0</v>
      </c>
      <c r="I30" s="1031">
        <v>0</v>
      </c>
      <c r="J30" s="1031">
        <v>0</v>
      </c>
      <c r="K30" s="1028">
        <f t="shared" si="3"/>
        <v>0</v>
      </c>
      <c r="L30" s="1003">
        <v>0</v>
      </c>
    </row>
    <row r="31" spans="1:12" ht="12.75">
      <c r="A31" s="1032">
        <v>392.1</v>
      </c>
      <c r="B31" s="1033" t="s">
        <v>770</v>
      </c>
      <c r="C31" s="1018"/>
      <c r="D31" s="1011">
        <v>5</v>
      </c>
      <c r="E31" s="1012" t="s">
        <v>782</v>
      </c>
      <c r="F31" s="1013">
        <f aca="true" t="shared" si="4" ref="F31:F36">D31-G31</f>
        <v>2.2</v>
      </c>
      <c r="G31" s="1014">
        <v>2.8</v>
      </c>
      <c r="H31" s="1026">
        <v>40.2863890912455</v>
      </c>
      <c r="I31" s="1029">
        <v>10259043</v>
      </c>
      <c r="J31" s="1029">
        <v>6305049</v>
      </c>
      <c r="K31" s="1028">
        <f t="shared" si="3"/>
        <v>3953994</v>
      </c>
      <c r="L31" s="1003">
        <f aca="true" t="shared" si="5" ref="L31:L36">(H31*K31)/100</f>
        <v>1592921.4074845016</v>
      </c>
    </row>
    <row r="32" spans="1:12" ht="12.75">
      <c r="A32" s="1032">
        <v>392.2</v>
      </c>
      <c r="B32" s="1033" t="s">
        <v>771</v>
      </c>
      <c r="C32" s="1018"/>
      <c r="D32" s="1011">
        <v>8</v>
      </c>
      <c r="E32" s="1012" t="s">
        <v>672</v>
      </c>
      <c r="F32" s="1013">
        <f t="shared" si="4"/>
        <v>2.5</v>
      </c>
      <c r="G32" s="1014">
        <v>5.5</v>
      </c>
      <c r="H32" s="1026">
        <v>17.576047090404103</v>
      </c>
      <c r="I32" s="1029">
        <v>23012865</v>
      </c>
      <c r="J32" s="1029">
        <v>14176237</v>
      </c>
      <c r="K32" s="1028">
        <f t="shared" si="3"/>
        <v>8836628</v>
      </c>
      <c r="L32" s="1003">
        <f t="shared" si="5"/>
        <v>1553129.8984838342</v>
      </c>
    </row>
    <row r="33" spans="1:12" ht="12.75">
      <c r="A33" s="1032">
        <v>392.3</v>
      </c>
      <c r="B33" s="1033" t="s">
        <v>772</v>
      </c>
      <c r="C33" s="1018"/>
      <c r="D33" s="1011">
        <v>11</v>
      </c>
      <c r="E33" s="1012" t="s">
        <v>671</v>
      </c>
      <c r="F33" s="1013">
        <f t="shared" si="4"/>
        <v>5.6</v>
      </c>
      <c r="G33" s="1014">
        <v>5.4</v>
      </c>
      <c r="H33" s="1026">
        <v>8.55733659221647</v>
      </c>
      <c r="I33" s="1029">
        <v>74164275</v>
      </c>
      <c r="J33" s="1029">
        <v>46094626</v>
      </c>
      <c r="K33" s="1028">
        <f t="shared" si="3"/>
        <v>28069649</v>
      </c>
      <c r="L33" s="1003">
        <f t="shared" si="5"/>
        <v>2402014.3451837245</v>
      </c>
    </row>
    <row r="34" spans="1:12" ht="12.75">
      <c r="A34" s="1032">
        <v>392.4</v>
      </c>
      <c r="B34" s="1033" t="s">
        <v>287</v>
      </c>
      <c r="C34" s="1018"/>
      <c r="D34" s="1011">
        <v>24</v>
      </c>
      <c r="E34" s="1012" t="s">
        <v>676</v>
      </c>
      <c r="F34" s="1013">
        <f t="shared" si="4"/>
        <v>6</v>
      </c>
      <c r="G34" s="1014">
        <v>18</v>
      </c>
      <c r="H34" s="1026">
        <v>5.83038806118041</v>
      </c>
      <c r="I34" s="1029">
        <v>7538289</v>
      </c>
      <c r="J34" s="1029">
        <v>2868084</v>
      </c>
      <c r="K34" s="1028">
        <f t="shared" si="3"/>
        <v>4670205</v>
      </c>
      <c r="L34" s="1003">
        <f t="shared" si="5"/>
        <v>272291.0747526506</v>
      </c>
    </row>
    <row r="35" spans="1:12" ht="12.75">
      <c r="A35" s="1032">
        <v>392.5</v>
      </c>
      <c r="B35" s="1033" t="s">
        <v>773</v>
      </c>
      <c r="C35" s="1018"/>
      <c r="D35" s="1011">
        <v>16</v>
      </c>
      <c r="E35" s="1012" t="s">
        <v>782</v>
      </c>
      <c r="F35" s="1013">
        <f t="shared" si="4"/>
        <v>6.9</v>
      </c>
      <c r="G35" s="1014">
        <v>9.1</v>
      </c>
      <c r="H35" s="1026">
        <v>10.9058222220214</v>
      </c>
      <c r="I35" s="1029">
        <v>3672714</v>
      </c>
      <c r="J35" s="1029">
        <v>1778314</v>
      </c>
      <c r="K35" s="1028">
        <f t="shared" si="3"/>
        <v>1894400</v>
      </c>
      <c r="L35" s="1003">
        <f t="shared" si="5"/>
        <v>206599.8961739734</v>
      </c>
    </row>
    <row r="36" spans="1:12" ht="12.75">
      <c r="A36" s="1032">
        <v>392.6</v>
      </c>
      <c r="B36" s="1033" t="s">
        <v>774</v>
      </c>
      <c r="C36" s="1018"/>
      <c r="D36" s="1011">
        <v>13</v>
      </c>
      <c r="E36" s="1012" t="s">
        <v>783</v>
      </c>
      <c r="F36" s="1013">
        <f t="shared" si="4"/>
        <v>8.6</v>
      </c>
      <c r="G36" s="1014">
        <v>4.4</v>
      </c>
      <c r="H36" s="1026">
        <v>22.6744099338213</v>
      </c>
      <c r="I36" s="1029">
        <v>653799</v>
      </c>
      <c r="J36" s="1029">
        <v>320551</v>
      </c>
      <c r="K36" s="1028">
        <f t="shared" si="3"/>
        <v>333248</v>
      </c>
      <c r="L36" s="1003">
        <f t="shared" si="5"/>
        <v>75562.0176162608</v>
      </c>
    </row>
    <row r="37" spans="1:12" ht="12.75">
      <c r="A37" s="1032">
        <v>393</v>
      </c>
      <c r="B37" s="1033" t="s">
        <v>775</v>
      </c>
      <c r="C37" s="1018"/>
      <c r="D37" s="1011">
        <v>25</v>
      </c>
      <c r="E37" s="1012" t="s">
        <v>675</v>
      </c>
      <c r="F37" s="1030"/>
      <c r="G37" s="1014">
        <v>10.6</v>
      </c>
      <c r="H37" s="1031">
        <v>4.071516146994051</v>
      </c>
      <c r="I37" s="1029">
        <v>2658529</v>
      </c>
      <c r="J37" s="1029">
        <v>1158303</v>
      </c>
      <c r="K37" s="1028">
        <f t="shared" si="3"/>
        <v>1500226</v>
      </c>
      <c r="L37" s="1003">
        <f aca="true" t="shared" si="6" ref="L37:L42">(H37*I37)/100</f>
        <v>108242.43750751945</v>
      </c>
    </row>
    <row r="38" spans="1:12" ht="12.75">
      <c r="A38" s="1032">
        <v>394</v>
      </c>
      <c r="B38" s="1033" t="s">
        <v>776</v>
      </c>
      <c r="C38" s="1018"/>
      <c r="D38" s="1011">
        <v>20</v>
      </c>
      <c r="E38" s="1012" t="s">
        <v>675</v>
      </c>
      <c r="F38" s="1030"/>
      <c r="G38" s="1014">
        <v>8.4</v>
      </c>
      <c r="H38" s="1031">
        <v>5.5274857760237</v>
      </c>
      <c r="I38" s="1029">
        <v>4761532</v>
      </c>
      <c r="J38" s="1029">
        <v>2405199</v>
      </c>
      <c r="K38" s="1028">
        <f t="shared" si="3"/>
        <v>2356333</v>
      </c>
      <c r="L38" s="1003">
        <f t="shared" si="6"/>
        <v>263193.0040208168</v>
      </c>
    </row>
    <row r="39" spans="1:12" ht="12.75">
      <c r="A39" s="1032">
        <v>394.2</v>
      </c>
      <c r="B39" s="1033" t="s">
        <v>777</v>
      </c>
      <c r="C39" s="1018"/>
      <c r="D39" s="1011">
        <v>20</v>
      </c>
      <c r="E39" s="1012" t="s">
        <v>675</v>
      </c>
      <c r="F39" s="1030"/>
      <c r="G39" s="1014">
        <v>5.3</v>
      </c>
      <c r="H39" s="1031">
        <v>7.48893959880301</v>
      </c>
      <c r="I39" s="1029">
        <v>274669</v>
      </c>
      <c r="J39" s="1029">
        <v>159490</v>
      </c>
      <c r="K39" s="1028">
        <f t="shared" si="3"/>
        <v>115179</v>
      </c>
      <c r="L39" s="1003">
        <f t="shared" si="6"/>
        <v>20569.79550663624</v>
      </c>
    </row>
    <row r="40" spans="1:12" ht="12.75">
      <c r="A40" s="1032">
        <v>394.4</v>
      </c>
      <c r="B40" s="1033" t="s">
        <v>778</v>
      </c>
      <c r="C40" s="1018"/>
      <c r="D40" s="1011">
        <v>20</v>
      </c>
      <c r="E40" s="1012" t="s">
        <v>675</v>
      </c>
      <c r="F40" s="1030"/>
      <c r="G40" s="1014">
        <v>8.8</v>
      </c>
      <c r="H40" s="1031">
        <v>5.01486134664413</v>
      </c>
      <c r="I40" s="1029">
        <v>1353414</v>
      </c>
      <c r="J40" s="1029">
        <v>641662</v>
      </c>
      <c r="K40" s="1028">
        <f t="shared" si="3"/>
        <v>711752</v>
      </c>
      <c r="L40" s="1003">
        <f t="shared" si="6"/>
        <v>67871.83554607019</v>
      </c>
    </row>
    <row r="41" spans="1:12" ht="12.75">
      <c r="A41" s="1032">
        <v>394.6</v>
      </c>
      <c r="B41" s="1033" t="s">
        <v>779</v>
      </c>
      <c r="C41" s="1018"/>
      <c r="D41" s="1011">
        <v>20</v>
      </c>
      <c r="E41" s="1012" t="s">
        <v>675</v>
      </c>
      <c r="F41" s="1030"/>
      <c r="G41" s="1014">
        <v>14.1</v>
      </c>
      <c r="H41" s="1031">
        <v>5.31018919362333</v>
      </c>
      <c r="I41" s="1029">
        <v>24459097</v>
      </c>
      <c r="J41" s="1029">
        <v>7121533</v>
      </c>
      <c r="K41" s="1028">
        <f t="shared" si="3"/>
        <v>17337564</v>
      </c>
      <c r="L41" s="1003">
        <f t="shared" si="6"/>
        <v>1298824.325751848</v>
      </c>
    </row>
    <row r="42" spans="1:12" ht="12.75">
      <c r="A42" s="1032">
        <v>394.8</v>
      </c>
      <c r="B42" s="1033" t="s">
        <v>780</v>
      </c>
      <c r="C42" s="1018"/>
      <c r="D42" s="1011">
        <v>20</v>
      </c>
      <c r="E42" s="1012" t="s">
        <v>675</v>
      </c>
      <c r="F42" s="1030"/>
      <c r="G42" s="1014">
        <v>13.8</v>
      </c>
      <c r="H42" s="1031">
        <v>5.53173286725998</v>
      </c>
      <c r="I42" s="1029">
        <v>1871087</v>
      </c>
      <c r="J42" s="1029">
        <v>504289</v>
      </c>
      <c r="K42" s="1028">
        <f t="shared" si="3"/>
        <v>1366798</v>
      </c>
      <c r="L42" s="1003">
        <f t="shared" si="6"/>
        <v>103503.53455402875</v>
      </c>
    </row>
    <row r="43" spans="1:12" ht="12.75">
      <c r="A43" s="1032">
        <v>395</v>
      </c>
      <c r="B43" s="1033" t="s">
        <v>288</v>
      </c>
      <c r="C43" s="1018"/>
      <c r="D43" s="1011">
        <v>20</v>
      </c>
      <c r="E43" s="1012" t="s">
        <v>675</v>
      </c>
      <c r="F43" s="1030"/>
      <c r="G43" s="1014">
        <v>12</v>
      </c>
      <c r="H43" s="1031">
        <v>5.00618013633764</v>
      </c>
      <c r="I43" s="1029">
        <v>4694055</v>
      </c>
      <c r="J43" s="1029">
        <v>1869947</v>
      </c>
      <c r="K43" s="1028">
        <f t="shared" si="3"/>
        <v>2824108</v>
      </c>
      <c r="L43" s="1003">
        <f>(H43*I43)/100</f>
        <v>234992.84899876383</v>
      </c>
    </row>
    <row r="44" spans="1:12" ht="12.75">
      <c r="A44" s="1032">
        <v>396</v>
      </c>
      <c r="B44" s="1033" t="s">
        <v>289</v>
      </c>
      <c r="C44" s="1018"/>
      <c r="D44" s="1011">
        <v>13</v>
      </c>
      <c r="E44" s="1012" t="s">
        <v>674</v>
      </c>
      <c r="F44" s="1013">
        <f>D44-G44</f>
        <v>4.4</v>
      </c>
      <c r="G44" s="1014">
        <v>8.6</v>
      </c>
      <c r="H44" s="1031">
        <v>5.0289316374099</v>
      </c>
      <c r="I44" s="1029">
        <v>2238835</v>
      </c>
      <c r="J44" s="1029">
        <v>1409044</v>
      </c>
      <c r="K44" s="1028">
        <f t="shared" si="3"/>
        <v>829791</v>
      </c>
      <c r="L44" s="1003">
        <f>(H44*I44)/100</f>
        <v>112589.48162440595</v>
      </c>
    </row>
    <row r="45" spans="1:12" ht="12.75">
      <c r="A45" s="1032">
        <v>397</v>
      </c>
      <c r="B45" s="1033" t="s">
        <v>290</v>
      </c>
      <c r="C45" s="1018"/>
      <c r="D45" s="1011">
        <v>15</v>
      </c>
      <c r="E45" s="1012" t="s">
        <v>675</v>
      </c>
      <c r="F45" s="1030"/>
      <c r="G45" s="1014">
        <v>13.4</v>
      </c>
      <c r="H45" s="1031">
        <v>5.36713292325244</v>
      </c>
      <c r="I45" s="1029">
        <v>14504494</v>
      </c>
      <c r="J45" s="1029">
        <v>5140394</v>
      </c>
      <c r="K45" s="1028">
        <f t="shared" si="3"/>
        <v>9364100</v>
      </c>
      <c r="L45" s="1003">
        <f>(H45*I45)/100</f>
        <v>778475.4728251748</v>
      </c>
    </row>
    <row r="46" spans="1:17" ht="12.75">
      <c r="A46" s="1032">
        <v>398</v>
      </c>
      <c r="B46" s="1033" t="s">
        <v>291</v>
      </c>
      <c r="C46" s="1018"/>
      <c r="D46" s="1011">
        <v>20</v>
      </c>
      <c r="E46" s="1012" t="s">
        <v>675</v>
      </c>
      <c r="F46" s="1030"/>
      <c r="G46" s="1014">
        <v>13.9</v>
      </c>
      <c r="H46" s="1031">
        <v>5.05480164531434</v>
      </c>
      <c r="I46" s="1029">
        <v>3104394</v>
      </c>
      <c r="J46" s="1029">
        <v>713180</v>
      </c>
      <c r="K46" s="1028">
        <f t="shared" si="3"/>
        <v>2391214</v>
      </c>
      <c r="L46" s="1003">
        <f>(H46*I46)/100</f>
        <v>156920.95898903965</v>
      </c>
      <c r="N46" s="1003"/>
      <c r="O46" s="1003"/>
      <c r="P46" s="1003"/>
      <c r="Q46" s="1071"/>
    </row>
    <row r="47" spans="4:16" ht="12.75">
      <c r="D47" s="1011"/>
      <c r="E47" s="1011"/>
      <c r="F47" s="1018"/>
      <c r="G47" s="990"/>
      <c r="H47" s="1034"/>
      <c r="I47" s="1035"/>
      <c r="J47" s="1035"/>
      <c r="K47" s="1024"/>
      <c r="L47" s="1003"/>
      <c r="N47" s="1003"/>
      <c r="O47" s="1058"/>
      <c r="P47" s="1003"/>
    </row>
    <row r="48" spans="2:12" ht="12.75">
      <c r="B48" s="1008" t="s">
        <v>724</v>
      </c>
      <c r="D48" s="1011"/>
      <c r="E48" s="1011"/>
      <c r="F48" s="1018"/>
      <c r="G48" s="990"/>
      <c r="H48" s="991"/>
      <c r="I48" s="1023"/>
      <c r="J48" s="1036"/>
      <c r="K48" s="1024"/>
      <c r="L48" s="998"/>
    </row>
    <row r="49" spans="1:14" ht="15" customHeight="1">
      <c r="A49" s="1009">
        <v>303.2</v>
      </c>
      <c r="B49" s="1025" t="s">
        <v>784</v>
      </c>
      <c r="D49" s="1011">
        <v>5</v>
      </c>
      <c r="E49" s="1012" t="s">
        <v>675</v>
      </c>
      <c r="F49" s="1011"/>
      <c r="G49" s="1037">
        <v>2.8</v>
      </c>
      <c r="H49" s="1038">
        <v>20</v>
      </c>
      <c r="I49" s="1039">
        <v>107520310</v>
      </c>
      <c r="J49" s="1039">
        <v>53486315</v>
      </c>
      <c r="K49" s="992">
        <f>+I49-J49</f>
        <v>54033995</v>
      </c>
      <c r="L49" s="1003">
        <v>22211521</v>
      </c>
      <c r="N49" s="1040"/>
    </row>
    <row r="50" spans="1:17" ht="12.75">
      <c r="A50" s="1009">
        <v>303.4</v>
      </c>
      <c r="B50" s="1025" t="s">
        <v>785</v>
      </c>
      <c r="D50" s="1004">
        <v>15</v>
      </c>
      <c r="E50" s="1012" t="s">
        <v>675</v>
      </c>
      <c r="F50" s="1030"/>
      <c r="G50" s="1014">
        <v>2.7</v>
      </c>
      <c r="H50" s="1041">
        <v>20</v>
      </c>
      <c r="I50" s="1042">
        <v>3983011</v>
      </c>
      <c r="J50" s="1039">
        <v>1899355</v>
      </c>
      <c r="K50" s="992">
        <f>+I50-J50</f>
        <v>2083656</v>
      </c>
      <c r="L50" s="1003">
        <v>811571</v>
      </c>
      <c r="N50" s="1040"/>
      <c r="Q50" s="1071"/>
    </row>
    <row r="51" spans="1:17" ht="12.75">
      <c r="A51" s="1009">
        <v>303.5</v>
      </c>
      <c r="B51" s="1025" t="s">
        <v>786</v>
      </c>
      <c r="D51" s="1004">
        <v>5</v>
      </c>
      <c r="E51" s="1012" t="s">
        <v>675</v>
      </c>
      <c r="F51" s="1030"/>
      <c r="G51" s="1014">
        <v>4.5</v>
      </c>
      <c r="H51" s="1041">
        <v>20</v>
      </c>
      <c r="I51" s="1042">
        <v>371386</v>
      </c>
      <c r="J51" s="1039">
        <v>73356</v>
      </c>
      <c r="K51" s="992">
        <f>+I51-J51</f>
        <v>298030</v>
      </c>
      <c r="L51" s="1003">
        <v>31045</v>
      </c>
      <c r="N51" s="1003"/>
      <c r="Q51" s="1071"/>
    </row>
    <row r="52" spans="9:14" ht="12.75">
      <c r="I52" s="1043"/>
      <c r="J52" s="1021"/>
      <c r="K52" s="1021"/>
      <c r="N52" s="1021"/>
    </row>
    <row r="53" spans="1:12" ht="12.75">
      <c r="A53" s="998" t="s">
        <v>677</v>
      </c>
      <c r="D53" s="1065"/>
      <c r="E53" s="1065"/>
      <c r="F53" s="1072"/>
      <c r="G53" s="1072"/>
      <c r="H53" s="1072"/>
      <c r="I53" s="1073"/>
      <c r="J53" s="1073"/>
      <c r="K53" s="1073"/>
      <c r="L53" s="1073"/>
    </row>
    <row r="54" spans="1:3" ht="12.75">
      <c r="A54" s="1044">
        <v>1</v>
      </c>
      <c r="B54" s="1044" t="s">
        <v>678</v>
      </c>
      <c r="C54" s="1045"/>
    </row>
    <row r="55" spans="1:3" ht="12.75">
      <c r="A55" s="1044">
        <v>2</v>
      </c>
      <c r="B55" s="1044" t="s">
        <v>699</v>
      </c>
      <c r="C55" s="1045"/>
    </row>
    <row r="56" spans="1:3" ht="12.75">
      <c r="A56" s="1044">
        <v>3</v>
      </c>
      <c r="B56" s="1046" t="s">
        <v>700</v>
      </c>
      <c r="C56" s="1045"/>
    </row>
    <row r="57" spans="1:3" ht="12.75">
      <c r="A57" s="1044">
        <v>4</v>
      </c>
      <c r="B57" s="1044" t="s">
        <v>701</v>
      </c>
      <c r="C57" s="1045"/>
    </row>
    <row r="58" spans="1:3" ht="12.75">
      <c r="A58" s="1044">
        <v>5</v>
      </c>
      <c r="B58" s="1044" t="s">
        <v>702</v>
      </c>
      <c r="C58" s="1045"/>
    </row>
    <row r="59" spans="1:3" ht="12.75">
      <c r="A59" s="1044">
        <v>6</v>
      </c>
      <c r="B59" s="1044" t="s">
        <v>703</v>
      </c>
      <c r="C59" s="1045"/>
    </row>
    <row r="60" spans="1:3" ht="12.75">
      <c r="A60" s="1044">
        <v>7</v>
      </c>
      <c r="B60" s="1044" t="s">
        <v>704</v>
      </c>
      <c r="C60" s="1045"/>
    </row>
    <row r="61" spans="1:3" ht="12.75">
      <c r="A61" s="1044">
        <v>8</v>
      </c>
      <c r="B61" s="1044" t="s">
        <v>679</v>
      </c>
      <c r="C61" s="1045"/>
    </row>
    <row r="62" spans="1:3" ht="12.75">
      <c r="A62" s="1044">
        <v>9</v>
      </c>
      <c r="B62" s="1044" t="s">
        <v>680</v>
      </c>
      <c r="C62" s="1045"/>
    </row>
    <row r="63" spans="1:3" ht="12.75">
      <c r="A63" s="1044">
        <v>10</v>
      </c>
      <c r="B63" s="1044" t="s">
        <v>838</v>
      </c>
      <c r="C63" s="1045"/>
    </row>
    <row r="64" spans="1:3" ht="12.75">
      <c r="A64" s="1044">
        <v>11</v>
      </c>
      <c r="B64" s="1044" t="s">
        <v>705</v>
      </c>
      <c r="C64" s="1045"/>
    </row>
    <row r="65" spans="1:19" ht="12.75">
      <c r="A65" s="1044">
        <v>12</v>
      </c>
      <c r="B65" s="1044" t="s">
        <v>839</v>
      </c>
      <c r="C65" s="1044"/>
      <c r="D65" s="1044"/>
      <c r="E65" s="1044"/>
      <c r="F65" s="1044"/>
      <c r="G65" s="1044"/>
      <c r="H65" s="1044"/>
      <c r="I65" s="1044"/>
      <c r="J65" s="1044"/>
      <c r="K65" s="1044"/>
      <c r="L65" s="1044"/>
      <c r="M65" s="1044"/>
      <c r="N65" s="1044"/>
      <c r="O65" s="1044"/>
      <c r="P65" s="1044"/>
      <c r="Q65" s="1044"/>
      <c r="R65" s="1044"/>
      <c r="S65" s="1044"/>
    </row>
    <row r="66" spans="1:3" ht="12.75">
      <c r="A66" s="1044"/>
      <c r="B66" s="1044"/>
      <c r="C66" s="1045"/>
    </row>
    <row r="67" spans="1:3" ht="12.75">
      <c r="A67" s="1045"/>
      <c r="B67" s="1045"/>
      <c r="C67" s="1045"/>
    </row>
    <row r="68" spans="1:3" ht="12.75">
      <c r="A68" s="1045"/>
      <c r="B68" s="1045"/>
      <c r="C68" s="1045"/>
    </row>
    <row r="69" spans="1:3" ht="12.75">
      <c r="A69" s="1045"/>
      <c r="B69" s="1045"/>
      <c r="C69" s="1045"/>
    </row>
    <row r="70" spans="1:3" ht="12.75">
      <c r="A70" s="1045"/>
      <c r="B70" s="1045"/>
      <c r="C70" s="1045"/>
    </row>
    <row r="71" spans="1:3" ht="12.75">
      <c r="A71" s="1045"/>
      <c r="B71" s="1045"/>
      <c r="C71" s="1045"/>
    </row>
  </sheetData>
  <sheetProtection/>
  <mergeCells count="2">
    <mergeCell ref="A1:L1"/>
    <mergeCell ref="A3:L3"/>
  </mergeCells>
  <printOptions horizontalCentered="1"/>
  <pageMargins left="0" right="0" top="0.5" bottom="0.5" header="0.5" footer="0.5"/>
  <pageSetup fitToHeight="1" fitToWidth="1" horizontalDpi="600" verticalDpi="600" orientation="landscape" scale="56" r:id="rId1"/>
  <headerFooter alignWithMargins="0">
    <oddHeader>&amp;RExhibit 1
Page &amp;P of &amp;N</oddHeader>
  </headerFooter>
</worksheet>
</file>

<file path=xl/worksheets/sheet11.xml><?xml version="1.0" encoding="utf-8"?>
<worksheet xmlns="http://schemas.openxmlformats.org/spreadsheetml/2006/main" xmlns:r="http://schemas.openxmlformats.org/officeDocument/2006/relationships">
  <sheetPr>
    <tabColor rgb="FF92D050"/>
  </sheetPr>
  <dimension ref="A1:J72"/>
  <sheetViews>
    <sheetView showGridLines="0" zoomScale="75" zoomScaleNormal="75" workbookViewId="0" topLeftCell="A1">
      <pane ySplit="9" topLeftCell="A10" activePane="bottomLeft" state="frozen"/>
      <selection pane="topLeft" activeCell="J149" sqref="J149"/>
      <selection pane="bottomLeft" activeCell="A10" sqref="A10"/>
    </sheetView>
  </sheetViews>
  <sheetFormatPr defaultColWidth="9.140625" defaultRowHeight="12.75"/>
  <cols>
    <col min="1" max="1" width="9.140625" style="998" customWidth="1"/>
    <col min="2" max="2" width="24.8515625" style="998" customWidth="1"/>
    <col min="3" max="3" width="56.28125" style="998" customWidth="1"/>
    <col min="4" max="4" width="15.421875" style="1004" customWidth="1"/>
    <col min="5" max="5" width="17.00390625" style="989" bestFit="1" customWidth="1"/>
    <col min="6" max="6" width="17.7109375" style="998" bestFit="1" customWidth="1"/>
    <col min="7" max="7" width="13.421875" style="998" customWidth="1"/>
    <col min="8" max="8" width="12.7109375" style="998" customWidth="1"/>
    <col min="9" max="9" width="13.57421875" style="981" customWidth="1"/>
    <col min="10" max="10" width="9.140625" style="998" customWidth="1"/>
    <col min="11" max="16384" width="9.140625" style="998" customWidth="1"/>
  </cols>
  <sheetData>
    <row r="1" spans="1:9" ht="15.75">
      <c r="A1" s="1167" t="s">
        <v>189</v>
      </c>
      <c r="B1" s="1167"/>
      <c r="C1" s="1167"/>
      <c r="D1" s="1167"/>
      <c r="E1" s="1167"/>
      <c r="F1" s="1167"/>
      <c r="G1" s="1167"/>
      <c r="H1" s="1167"/>
      <c r="I1" s="1167"/>
    </row>
    <row r="2" spans="1:7" ht="15.75">
      <c r="A2" s="999"/>
      <c r="B2" s="1000"/>
      <c r="C2" s="1000"/>
      <c r="D2" s="1001"/>
      <c r="E2" s="980"/>
      <c r="G2" s="1003"/>
    </row>
    <row r="3" spans="1:9" ht="15.75">
      <c r="A3" s="1167" t="s">
        <v>706</v>
      </c>
      <c r="B3" s="1167"/>
      <c r="C3" s="1167"/>
      <c r="D3" s="1167"/>
      <c r="E3" s="1167"/>
      <c r="F3" s="1167"/>
      <c r="G3" s="1167"/>
      <c r="H3" s="1167"/>
      <c r="I3" s="1167"/>
    </row>
    <row r="4" spans="1:9" ht="15.75">
      <c r="A4" s="1167" t="s">
        <v>707</v>
      </c>
      <c r="B4" s="1167"/>
      <c r="C4" s="1167"/>
      <c r="D4" s="1167"/>
      <c r="E4" s="1167"/>
      <c r="F4" s="1167"/>
      <c r="G4" s="1167"/>
      <c r="H4" s="1167"/>
      <c r="I4" s="1167"/>
    </row>
    <row r="5" spans="1:9" ht="15.75">
      <c r="A5" s="997"/>
      <c r="B5" s="997"/>
      <c r="C5" s="997"/>
      <c r="D5" s="997"/>
      <c r="E5" s="997"/>
      <c r="F5" s="997"/>
      <c r="G5" s="997"/>
      <c r="H5" s="997"/>
      <c r="I5" s="997"/>
    </row>
    <row r="6" spans="1:9" ht="12.75">
      <c r="A6" s="1004" t="s">
        <v>310</v>
      </c>
      <c r="B6" s="1004" t="s">
        <v>311</v>
      </c>
      <c r="C6" s="1004"/>
      <c r="D6" s="1004" t="s">
        <v>658</v>
      </c>
      <c r="E6" s="983" t="s">
        <v>119</v>
      </c>
      <c r="F6" s="1004" t="s">
        <v>120</v>
      </c>
      <c r="G6" s="1004" t="s">
        <v>121</v>
      </c>
      <c r="H6" s="1004" t="s">
        <v>122</v>
      </c>
      <c r="I6" s="984" t="s">
        <v>123</v>
      </c>
    </row>
    <row r="7" spans="5:9" ht="12.75">
      <c r="E7" s="983"/>
      <c r="F7" s="1004" t="s">
        <v>659</v>
      </c>
      <c r="G7" s="1004" t="s">
        <v>660</v>
      </c>
      <c r="H7" s="1004" t="s">
        <v>661</v>
      </c>
      <c r="I7" s="984" t="s">
        <v>51</v>
      </c>
    </row>
    <row r="8" spans="1:9" ht="12.75">
      <c r="A8" s="1004"/>
      <c r="D8" s="1004" t="s">
        <v>662</v>
      </c>
      <c r="E8" s="983" t="s">
        <v>697</v>
      </c>
      <c r="F8" s="1004" t="s">
        <v>666</v>
      </c>
      <c r="G8" s="1004" t="s">
        <v>51</v>
      </c>
      <c r="H8" s="1004" t="s">
        <v>222</v>
      </c>
      <c r="I8" s="984" t="s">
        <v>667</v>
      </c>
    </row>
    <row r="9" spans="1:9" ht="12.75">
      <c r="A9" s="1005" t="s">
        <v>273</v>
      </c>
      <c r="B9" s="1005" t="s">
        <v>43</v>
      </c>
      <c r="C9" s="1006"/>
      <c r="D9" s="1005" t="s">
        <v>28</v>
      </c>
      <c r="E9" s="986" t="s">
        <v>698</v>
      </c>
      <c r="F9" s="1005" t="s">
        <v>670</v>
      </c>
      <c r="G9" s="1005" t="s">
        <v>670</v>
      </c>
      <c r="H9" s="1005" t="s">
        <v>670</v>
      </c>
      <c r="I9" s="987" t="s">
        <v>670</v>
      </c>
    </row>
    <row r="10" spans="4:9" ht="12.75">
      <c r="D10" s="1011"/>
      <c r="E10" s="991"/>
      <c r="F10" s="1020"/>
      <c r="G10" s="1020"/>
      <c r="H10" s="1020"/>
      <c r="I10" s="992"/>
    </row>
    <row r="11" spans="2:9" ht="12.75">
      <c r="B11" s="1008" t="s">
        <v>44</v>
      </c>
      <c r="D11" s="1011"/>
      <c r="E11" s="991"/>
      <c r="F11" s="993"/>
      <c r="G11" s="1018"/>
      <c r="H11" s="1024"/>
      <c r="I11" s="992"/>
    </row>
    <row r="12" spans="1:9" ht="12.75">
      <c r="A12" s="1009">
        <v>390.21</v>
      </c>
      <c r="B12" s="1025" t="s">
        <v>708</v>
      </c>
      <c r="D12" s="1011">
        <v>10</v>
      </c>
      <c r="E12" s="1026">
        <v>20.5851</v>
      </c>
      <c r="F12" s="1029">
        <v>909523</v>
      </c>
      <c r="G12" s="1029">
        <v>528790</v>
      </c>
      <c r="H12" s="1028">
        <f>+F12-G12</f>
        <v>380733</v>
      </c>
      <c r="I12" s="1003">
        <f>(E12*H12)/100</f>
        <v>78374.268783</v>
      </c>
    </row>
    <row r="13" spans="1:9" ht="12.75">
      <c r="A13" s="1009"/>
      <c r="B13" s="1025"/>
      <c r="D13" s="1011"/>
      <c r="E13" s="1047"/>
      <c r="F13" s="1028"/>
      <c r="G13" s="1028"/>
      <c r="H13" s="1028"/>
      <c r="I13" s="1003"/>
    </row>
    <row r="14" spans="1:9" ht="12.75">
      <c r="A14" s="1009">
        <v>391.2</v>
      </c>
      <c r="B14" s="1025" t="s">
        <v>709</v>
      </c>
      <c r="D14" s="1011">
        <v>20</v>
      </c>
      <c r="E14" s="1031">
        <v>4.89689789911582</v>
      </c>
      <c r="F14" s="1029">
        <v>20244289</v>
      </c>
      <c r="G14" s="1029">
        <v>7372713</v>
      </c>
      <c r="H14" s="1028">
        <f>+F14-G14</f>
        <v>12871576</v>
      </c>
      <c r="I14" s="1024">
        <f>(E14*F14)/100</f>
        <v>991342.162731935</v>
      </c>
    </row>
    <row r="15" spans="1:9" ht="12.75">
      <c r="A15" s="1009">
        <v>391.2</v>
      </c>
      <c r="B15" s="1025" t="s">
        <v>710</v>
      </c>
      <c r="D15" s="1011">
        <v>20</v>
      </c>
      <c r="E15" s="1031">
        <v>36.7569734851094</v>
      </c>
      <c r="F15" s="1029">
        <v>2270258</v>
      </c>
      <c r="G15" s="1029">
        <v>1872999</v>
      </c>
      <c r="H15" s="1028">
        <f>+F15-G15</f>
        <v>397259</v>
      </c>
      <c r="I15" s="1024">
        <f>(E15*H15)/100</f>
        <v>146020.38529721074</v>
      </c>
    </row>
    <row r="16" spans="1:9" ht="12.75">
      <c r="A16" s="1009"/>
      <c r="B16" s="1025"/>
      <c r="D16" s="1011"/>
      <c r="E16" s="1034"/>
      <c r="F16" s="1028">
        <f>F14+F15</f>
        <v>22514547</v>
      </c>
      <c r="G16" s="1028">
        <f>G14+G15</f>
        <v>9245712</v>
      </c>
      <c r="H16" s="1028">
        <f>H14+H15</f>
        <v>13268835</v>
      </c>
      <c r="I16" s="1024">
        <f>I14+I15</f>
        <v>1137362.5480291457</v>
      </c>
    </row>
    <row r="17" spans="1:9" ht="12.75">
      <c r="A17" s="1009"/>
      <c r="B17" s="1025"/>
      <c r="D17" s="1011"/>
      <c r="E17" s="1034"/>
      <c r="F17" s="1028"/>
      <c r="G17" s="1028"/>
      <c r="H17" s="1028"/>
      <c r="I17" s="1024"/>
    </row>
    <row r="18" spans="1:9" ht="12.75">
      <c r="A18" s="1032">
        <v>391.4</v>
      </c>
      <c r="B18" s="1033" t="s">
        <v>787</v>
      </c>
      <c r="C18" s="1018"/>
      <c r="D18" s="1011">
        <v>15</v>
      </c>
      <c r="E18" s="1031">
        <v>6.55610451639683</v>
      </c>
      <c r="F18" s="1029">
        <v>2947832</v>
      </c>
      <c r="G18" s="1029">
        <v>1292934</v>
      </c>
      <c r="H18" s="1028">
        <f>+F18-G18</f>
        <v>1654898</v>
      </c>
      <c r="I18" s="1024">
        <f>(E18*F18)/100</f>
        <v>193262.946887791</v>
      </c>
    </row>
    <row r="19" spans="1:9" ht="12.75">
      <c r="A19" s="1032">
        <v>391.4</v>
      </c>
      <c r="B19" s="1033" t="s">
        <v>788</v>
      </c>
      <c r="C19" s="1018"/>
      <c r="D19" s="1011">
        <v>15</v>
      </c>
      <c r="E19" s="1031">
        <v>22.818813231423</v>
      </c>
      <c r="F19" s="1029">
        <v>4916</v>
      </c>
      <c r="G19" s="1029">
        <v>3339</v>
      </c>
      <c r="H19" s="1028">
        <f>+F19-G19</f>
        <v>1577</v>
      </c>
      <c r="I19" s="1024">
        <f>(E19*H19)/100</f>
        <v>359.85268465954067</v>
      </c>
    </row>
    <row r="20" spans="1:9" ht="12.75">
      <c r="A20" s="1032"/>
      <c r="B20" s="1033"/>
      <c r="C20" s="1018"/>
      <c r="D20" s="1011"/>
      <c r="E20" s="1034"/>
      <c r="F20" s="1028">
        <f>SUM(F18:F19)</f>
        <v>2952748</v>
      </c>
      <c r="G20" s="1028">
        <f>SUM(G18:G19)</f>
        <v>1296273</v>
      </c>
      <c r="H20" s="1028">
        <f>SUM(H18:H19)</f>
        <v>1656475</v>
      </c>
      <c r="I20" s="1024">
        <f>SUM(I18:I19)</f>
        <v>193622.79957245055</v>
      </c>
    </row>
    <row r="21" spans="1:9" ht="12.75">
      <c r="A21" s="1032"/>
      <c r="B21" s="1033"/>
      <c r="C21" s="1018"/>
      <c r="D21" s="1011"/>
      <c r="E21" s="1034"/>
      <c r="F21" s="1028"/>
      <c r="G21" s="1028"/>
      <c r="H21" s="1028"/>
      <c r="I21" s="1024"/>
    </row>
    <row r="22" spans="1:9" ht="12.75">
      <c r="A22" s="1032">
        <v>391.6</v>
      </c>
      <c r="B22" s="1069" t="s">
        <v>789</v>
      </c>
      <c r="C22" s="1018"/>
      <c r="D22" s="1011">
        <v>5</v>
      </c>
      <c r="E22" s="1031">
        <v>13.507499940525399</v>
      </c>
      <c r="F22" s="1029">
        <v>19723558</v>
      </c>
      <c r="G22" s="1029">
        <v>3459485</v>
      </c>
      <c r="H22" s="1028">
        <f>+F22-G22</f>
        <v>16264073</v>
      </c>
      <c r="I22" s="1024">
        <f>(E22*F22)/100</f>
        <v>2664159.585119493</v>
      </c>
    </row>
    <row r="23" spans="1:9" ht="12.75">
      <c r="A23" s="1032"/>
      <c r="B23" s="1033"/>
      <c r="C23" s="1018"/>
      <c r="D23" s="1011"/>
      <c r="E23" s="1034"/>
      <c r="F23" s="1028"/>
      <c r="G23" s="1028"/>
      <c r="H23" s="1028"/>
      <c r="I23" s="1024"/>
    </row>
    <row r="24" spans="1:9" ht="12.75">
      <c r="A24" s="1032">
        <v>391.8</v>
      </c>
      <c r="B24" s="1069" t="s">
        <v>790</v>
      </c>
      <c r="C24" s="1018"/>
      <c r="D24" s="1011">
        <v>7</v>
      </c>
      <c r="E24" s="1031">
        <v>0</v>
      </c>
      <c r="F24" s="1029">
        <v>0</v>
      </c>
      <c r="G24" s="1029">
        <v>0</v>
      </c>
      <c r="H24" s="1028">
        <f>+F24-G24</f>
        <v>0</v>
      </c>
      <c r="I24" s="1024">
        <v>0</v>
      </c>
    </row>
    <row r="25" spans="1:9" ht="12.75">
      <c r="A25" s="1032"/>
      <c r="B25" s="1033"/>
      <c r="C25" s="1018"/>
      <c r="D25" s="1011"/>
      <c r="E25" s="1034"/>
      <c r="F25" s="1028"/>
      <c r="G25" s="1028"/>
      <c r="H25" s="1028"/>
      <c r="I25" s="1024"/>
    </row>
    <row r="26" spans="1:9" ht="12.75">
      <c r="A26" s="1032">
        <v>393</v>
      </c>
      <c r="B26" s="1033" t="s">
        <v>711</v>
      </c>
      <c r="C26" s="1018"/>
      <c r="D26" s="1011">
        <v>25</v>
      </c>
      <c r="E26" s="1031">
        <v>3.14300216492533</v>
      </c>
      <c r="F26" s="1029">
        <v>1702913</v>
      </c>
      <c r="G26" s="1029">
        <v>577267</v>
      </c>
      <c r="H26" s="1028">
        <f>+F26-G26</f>
        <v>1125646</v>
      </c>
      <c r="I26" s="1003">
        <f>(E26*F26)/100</f>
        <v>53522.59245679488</v>
      </c>
    </row>
    <row r="27" spans="1:9" ht="12.75">
      <c r="A27" s="1032">
        <v>393</v>
      </c>
      <c r="B27" s="1033" t="s">
        <v>712</v>
      </c>
      <c r="C27" s="1018"/>
      <c r="D27" s="1011">
        <v>25</v>
      </c>
      <c r="E27" s="1031">
        <v>14.6083371004475</v>
      </c>
      <c r="F27" s="1029">
        <v>955615</v>
      </c>
      <c r="G27" s="1029">
        <v>581036</v>
      </c>
      <c r="H27" s="1028">
        <f>+F27-G27</f>
        <v>374579</v>
      </c>
      <c r="I27" s="1003">
        <f>(E27*H27)/100</f>
        <v>54719.763027485234</v>
      </c>
    </row>
    <row r="28" spans="1:10" ht="12.75">
      <c r="A28" s="1032"/>
      <c r="B28" s="1033"/>
      <c r="C28" s="1018"/>
      <c r="D28" s="1011"/>
      <c r="E28" s="1034"/>
      <c r="F28" s="1028">
        <f>SUM(F26:F27)</f>
        <v>2658528</v>
      </c>
      <c r="G28" s="1028">
        <f>SUM(G26:G27)</f>
        <v>1158303</v>
      </c>
      <c r="H28" s="1028">
        <f>SUM(H26:H27)</f>
        <v>1500225</v>
      </c>
      <c r="I28" s="1024">
        <f>SUM(I26:I27)</f>
        <v>108242.35548428012</v>
      </c>
      <c r="J28" s="1018"/>
    </row>
    <row r="29" spans="1:10" ht="12.75">
      <c r="A29" s="1032"/>
      <c r="B29" s="1033"/>
      <c r="C29" s="1018"/>
      <c r="D29" s="1011"/>
      <c r="E29" s="1034"/>
      <c r="F29" s="1028"/>
      <c r="G29" s="1028"/>
      <c r="H29" s="1028"/>
      <c r="I29" s="1024"/>
      <c r="J29" s="1018"/>
    </row>
    <row r="30" spans="1:9" ht="12.75">
      <c r="A30" s="1032">
        <v>394</v>
      </c>
      <c r="B30" s="1069" t="s">
        <v>791</v>
      </c>
      <c r="C30" s="1018"/>
      <c r="D30" s="1011">
        <v>20</v>
      </c>
      <c r="E30" s="1031">
        <v>4.99999772252096</v>
      </c>
      <c r="F30" s="1029">
        <v>2371043</v>
      </c>
      <c r="G30" s="1029">
        <v>1064472</v>
      </c>
      <c r="H30" s="1028">
        <f>+F30-G30</f>
        <v>1306571</v>
      </c>
      <c r="I30" s="1003">
        <f>(E30*F30)/100</f>
        <v>118552.09599999264</v>
      </c>
    </row>
    <row r="31" spans="1:9" ht="12.75">
      <c r="A31" s="1032">
        <v>394</v>
      </c>
      <c r="B31" s="1069" t="s">
        <v>792</v>
      </c>
      <c r="C31" s="1018"/>
      <c r="D31" s="1011">
        <v>20</v>
      </c>
      <c r="E31" s="1031">
        <v>13.778449980854198</v>
      </c>
      <c r="F31" s="1029">
        <v>2390490</v>
      </c>
      <c r="G31" s="1029">
        <v>1340728</v>
      </c>
      <c r="H31" s="1028">
        <f>+F31-G31</f>
        <v>1049762</v>
      </c>
      <c r="I31" s="1003">
        <f>(E31*H31)/100</f>
        <v>144640.93208801464</v>
      </c>
    </row>
    <row r="32" spans="1:10" ht="12.75">
      <c r="A32" s="1032"/>
      <c r="B32" s="1033"/>
      <c r="C32" s="1018"/>
      <c r="D32" s="1011"/>
      <c r="E32" s="1034"/>
      <c r="F32" s="1028">
        <f>SUM(F30:F31)</f>
        <v>4761533</v>
      </c>
      <c r="G32" s="1028">
        <f>SUM(G30:G31)</f>
        <v>2405200</v>
      </c>
      <c r="H32" s="1028">
        <f>SUM(H30:H31)</f>
        <v>2356333</v>
      </c>
      <c r="I32" s="1024">
        <f>SUM(I30:I31)</f>
        <v>263193.0280880073</v>
      </c>
      <c r="J32" s="1018"/>
    </row>
    <row r="33" spans="1:10" ht="12.75">
      <c r="A33" s="1032"/>
      <c r="B33" s="1033"/>
      <c r="C33" s="1018"/>
      <c r="D33" s="1011"/>
      <c r="E33" s="1034"/>
      <c r="F33" s="1028"/>
      <c r="G33" s="1028"/>
      <c r="H33" s="1028"/>
      <c r="I33" s="1024"/>
      <c r="J33" s="1018"/>
    </row>
    <row r="34" spans="1:9" ht="12.75">
      <c r="A34" s="1032">
        <v>394.2</v>
      </c>
      <c r="B34" s="1069" t="s">
        <v>793</v>
      </c>
      <c r="C34" s="1018"/>
      <c r="D34" s="1011">
        <v>20</v>
      </c>
      <c r="E34" s="1031">
        <v>4.99999626006324</v>
      </c>
      <c r="F34" s="1029">
        <v>133692</v>
      </c>
      <c r="G34" s="1029">
        <v>48627</v>
      </c>
      <c r="H34" s="1028">
        <f>+F34-G34</f>
        <v>85065</v>
      </c>
      <c r="I34" s="1003">
        <f>(E34*F34)/100</f>
        <v>6684.5950000037465</v>
      </c>
    </row>
    <row r="35" spans="1:9" ht="12.75">
      <c r="A35" s="1032">
        <v>394.2</v>
      </c>
      <c r="B35" s="1069" t="s">
        <v>794</v>
      </c>
      <c r="C35" s="1018"/>
      <c r="D35" s="1011">
        <v>20</v>
      </c>
      <c r="E35" s="1031">
        <v>46.1088019222959</v>
      </c>
      <c r="F35" s="1029">
        <v>140977</v>
      </c>
      <c r="G35" s="1029">
        <v>110863</v>
      </c>
      <c r="H35" s="1028">
        <f>+F35-G35</f>
        <v>30114</v>
      </c>
      <c r="I35" s="1003">
        <f>(E35*H35)/100</f>
        <v>13885.204610880188</v>
      </c>
    </row>
    <row r="36" spans="1:9" ht="12.75">
      <c r="A36" s="1032"/>
      <c r="B36" s="1033"/>
      <c r="C36" s="1018"/>
      <c r="D36" s="1011"/>
      <c r="E36" s="1034"/>
      <c r="F36" s="1028">
        <f>SUM(F34:F35)</f>
        <v>274669</v>
      </c>
      <c r="G36" s="1028">
        <f>SUM(G34:G35)</f>
        <v>159490</v>
      </c>
      <c r="H36" s="1028">
        <f>SUM(H34:H35)</f>
        <v>115179</v>
      </c>
      <c r="I36" s="1024">
        <f>SUM(I34:I35)</f>
        <v>20569.799610883936</v>
      </c>
    </row>
    <row r="37" spans="1:9" ht="12.75">
      <c r="A37" s="1032"/>
      <c r="B37" s="1033"/>
      <c r="C37" s="1018"/>
      <c r="D37" s="1011"/>
      <c r="E37" s="1034"/>
      <c r="F37" s="1028"/>
      <c r="G37" s="1028"/>
      <c r="H37" s="1028"/>
      <c r="I37" s="1024"/>
    </row>
    <row r="38" spans="1:9" ht="12.75">
      <c r="A38" s="1032">
        <v>394.4</v>
      </c>
      <c r="B38" s="1069" t="s">
        <v>795</v>
      </c>
      <c r="C38" s="1018"/>
      <c r="D38" s="1011">
        <v>20</v>
      </c>
      <c r="E38" s="1031">
        <v>5.00000438510817</v>
      </c>
      <c r="F38" s="1029">
        <v>1345463</v>
      </c>
      <c r="G38" s="1029">
        <v>634707</v>
      </c>
      <c r="H38" s="1028">
        <f>+F38-G38</f>
        <v>710756</v>
      </c>
      <c r="I38" s="1003">
        <f>(E38*F38)/100</f>
        <v>67273.20900000793</v>
      </c>
    </row>
    <row r="39" spans="1:9" ht="12.75">
      <c r="A39" s="1032">
        <v>394.4</v>
      </c>
      <c r="B39" s="1069" t="s">
        <v>796</v>
      </c>
      <c r="C39" s="1018"/>
      <c r="D39" s="1011">
        <v>20</v>
      </c>
      <c r="E39" s="1031">
        <v>25</v>
      </c>
      <c r="F39" s="1029">
        <v>7951</v>
      </c>
      <c r="G39" s="1029">
        <v>5556</v>
      </c>
      <c r="H39" s="1028">
        <f>+F39-G39</f>
        <v>2395</v>
      </c>
      <c r="I39" s="1003">
        <f>(E39*H39)/100</f>
        <v>598.75</v>
      </c>
    </row>
    <row r="40" spans="1:10" ht="12.75">
      <c r="A40" s="1032"/>
      <c r="B40" s="1033"/>
      <c r="C40" s="1018"/>
      <c r="D40" s="1011"/>
      <c r="E40" s="1034"/>
      <c r="F40" s="1028">
        <f>SUM(F38:F39)</f>
        <v>1353414</v>
      </c>
      <c r="G40" s="1028">
        <f>SUM(G38:G39)</f>
        <v>640263</v>
      </c>
      <c r="H40" s="1028">
        <f>SUM(H38:H39)</f>
        <v>713151</v>
      </c>
      <c r="I40" s="1024">
        <f>SUM(I38:I39)</f>
        <v>67871.95900000793</v>
      </c>
      <c r="J40" s="1018"/>
    </row>
    <row r="41" spans="1:10" ht="12.75">
      <c r="A41" s="1032"/>
      <c r="B41" s="1033"/>
      <c r="C41" s="1018"/>
      <c r="D41" s="1011"/>
      <c r="E41" s="1034"/>
      <c r="F41" s="1028"/>
      <c r="G41" s="1028"/>
      <c r="H41" s="1028"/>
      <c r="I41" s="1024"/>
      <c r="J41" s="1018"/>
    </row>
    <row r="42" spans="1:9" ht="12.75">
      <c r="A42" s="1032">
        <v>394.6</v>
      </c>
      <c r="B42" s="1069" t="s">
        <v>797</v>
      </c>
      <c r="C42" s="1018"/>
      <c r="D42" s="1011">
        <v>20</v>
      </c>
      <c r="E42" s="1031">
        <v>4.86139546894504</v>
      </c>
      <c r="F42" s="1029">
        <v>24102993</v>
      </c>
      <c r="G42" s="1029">
        <v>6772952</v>
      </c>
      <c r="H42" s="1028">
        <f>+F42-G42</f>
        <v>17330041</v>
      </c>
      <c r="I42" s="1003">
        <f>(E42*F42)/100</f>
        <v>1171741.80958214</v>
      </c>
    </row>
    <row r="43" spans="1:9" ht="12.75">
      <c r="A43" s="1032">
        <v>394.6</v>
      </c>
      <c r="B43" s="1069" t="s">
        <v>798</v>
      </c>
      <c r="C43" s="1018"/>
      <c r="D43" s="1011">
        <v>20</v>
      </c>
      <c r="E43" s="1031">
        <v>1689.2499999999998</v>
      </c>
      <c r="F43" s="1029">
        <v>356104</v>
      </c>
      <c r="G43" s="1029">
        <v>348581</v>
      </c>
      <c r="H43" s="1028">
        <f>+F43-G43</f>
        <v>7523</v>
      </c>
      <c r="I43" s="1003">
        <f>(E43*H43)/100</f>
        <v>127082.27749999998</v>
      </c>
    </row>
    <row r="44" spans="1:9" ht="12.75">
      <c r="A44" s="1032"/>
      <c r="B44" s="1033"/>
      <c r="C44" s="1018"/>
      <c r="D44" s="1011"/>
      <c r="E44" s="1034"/>
      <c r="F44" s="1028">
        <f>SUM(F42:F43)</f>
        <v>24459097</v>
      </c>
      <c r="G44" s="1028">
        <f>SUM(G42:G43)</f>
        <v>7121533</v>
      </c>
      <c r="H44" s="1028">
        <f>SUM(H42:H43)</f>
        <v>17337564</v>
      </c>
      <c r="I44" s="1024">
        <f>SUM(I42:I43)</f>
        <v>1298824.0870821401</v>
      </c>
    </row>
    <row r="45" spans="1:9" ht="12.75">
      <c r="A45" s="1032"/>
      <c r="B45" s="1033"/>
      <c r="C45" s="1018"/>
      <c r="D45" s="1011"/>
      <c r="E45" s="1034"/>
      <c r="F45" s="1028"/>
      <c r="G45" s="1028"/>
      <c r="H45" s="1028"/>
      <c r="I45" s="1024"/>
    </row>
    <row r="46" spans="1:9" ht="12.75">
      <c r="A46" s="1032">
        <v>394.8</v>
      </c>
      <c r="B46" s="1069" t="s">
        <v>799</v>
      </c>
      <c r="C46" s="1018"/>
      <c r="D46" s="1011">
        <v>20</v>
      </c>
      <c r="E46" s="1031">
        <v>4.80988841199449</v>
      </c>
      <c r="F46" s="1029">
        <v>1696010</v>
      </c>
      <c r="G46" s="1029">
        <v>390622</v>
      </c>
      <c r="H46" s="1028">
        <f>+F46-G46</f>
        <v>1305388</v>
      </c>
      <c r="I46" s="1003">
        <f>(E46*F46)/100</f>
        <v>81576.18845626776</v>
      </c>
    </row>
    <row r="47" spans="1:9" ht="12.75">
      <c r="A47" s="1032">
        <v>394.8</v>
      </c>
      <c r="B47" s="1069" t="s">
        <v>800</v>
      </c>
      <c r="C47" s="1018"/>
      <c r="D47" s="1011">
        <v>20</v>
      </c>
      <c r="E47" s="1031">
        <v>35.706439168801204</v>
      </c>
      <c r="F47" s="1029">
        <v>175077</v>
      </c>
      <c r="G47" s="1029">
        <v>113667</v>
      </c>
      <c r="H47" s="1028">
        <f>+F47-G47</f>
        <v>61410</v>
      </c>
      <c r="I47" s="1003">
        <f>(E47*H47)/100</f>
        <v>21927.324293560818</v>
      </c>
    </row>
    <row r="48" spans="1:9" ht="12.75">
      <c r="A48" s="1032"/>
      <c r="B48" s="1033"/>
      <c r="C48" s="1018"/>
      <c r="D48" s="1011"/>
      <c r="E48" s="1034"/>
      <c r="F48" s="1028">
        <f>SUM(F46:F47)</f>
        <v>1871087</v>
      </c>
      <c r="G48" s="1028">
        <f>SUM(G46:G47)</f>
        <v>504289</v>
      </c>
      <c r="H48" s="1028">
        <f>SUM(H46:H47)</f>
        <v>1366798</v>
      </c>
      <c r="I48" s="1024">
        <f>SUM(I46:I47)</f>
        <v>103503.51274982857</v>
      </c>
    </row>
    <row r="49" spans="1:9" ht="12.75">
      <c r="A49" s="1032"/>
      <c r="B49" s="1033"/>
      <c r="C49" s="1018"/>
      <c r="D49" s="1011"/>
      <c r="E49" s="1034"/>
      <c r="F49" s="1028"/>
      <c r="G49" s="1028"/>
      <c r="H49" s="1028"/>
      <c r="I49" s="1024"/>
    </row>
    <row r="50" spans="1:9" ht="12.75">
      <c r="A50" s="1032">
        <v>395</v>
      </c>
      <c r="B50" s="1033" t="s">
        <v>713</v>
      </c>
      <c r="C50" s="1018"/>
      <c r="D50" s="1011">
        <v>20</v>
      </c>
      <c r="E50" s="1031">
        <v>4.98464037231685</v>
      </c>
      <c r="F50" s="1029">
        <v>3163723</v>
      </c>
      <c r="G50" s="1029">
        <v>1010502</v>
      </c>
      <c r="H50" s="1028">
        <f>+F50-G50</f>
        <v>2153221</v>
      </c>
      <c r="I50" s="1003">
        <f>(E50*F50)/100</f>
        <v>157700.2139262738</v>
      </c>
    </row>
    <row r="51" spans="1:9" ht="12.75">
      <c r="A51" s="1032">
        <v>395</v>
      </c>
      <c r="B51" s="1033" t="s">
        <v>714</v>
      </c>
      <c r="C51" s="1018"/>
      <c r="D51" s="1011">
        <v>20</v>
      </c>
      <c r="E51" s="1031">
        <v>11.5209572848192</v>
      </c>
      <c r="F51" s="1029">
        <v>1530333</v>
      </c>
      <c r="G51" s="1029">
        <v>859445</v>
      </c>
      <c r="H51" s="1028">
        <f>+F51-G51</f>
        <v>670888</v>
      </c>
      <c r="I51" s="1003">
        <f>(E51*H51)/100</f>
        <v>77292.71990897784</v>
      </c>
    </row>
    <row r="52" spans="1:9" ht="12.75">
      <c r="A52" s="1032"/>
      <c r="B52" s="1033"/>
      <c r="C52" s="1018"/>
      <c r="D52" s="1011"/>
      <c r="E52" s="1034"/>
      <c r="F52" s="1028">
        <f>SUM(F50:F51)</f>
        <v>4694056</v>
      </c>
      <c r="G52" s="1028">
        <f>SUM(G50:G51)</f>
        <v>1869947</v>
      </c>
      <c r="H52" s="1028">
        <f>SUM(H50:H51)</f>
        <v>2824109</v>
      </c>
      <c r="I52" s="1024">
        <f>SUM(I50:I51)</f>
        <v>234992.93383525166</v>
      </c>
    </row>
    <row r="53" spans="1:9" ht="12.75">
      <c r="A53" s="1032"/>
      <c r="B53" s="1033"/>
      <c r="C53" s="1018"/>
      <c r="D53" s="1011"/>
      <c r="E53" s="1034"/>
      <c r="F53" s="1028"/>
      <c r="G53" s="1028"/>
      <c r="H53" s="1028"/>
      <c r="I53" s="1024"/>
    </row>
    <row r="54" spans="1:9" ht="12.75">
      <c r="A54" s="1032">
        <v>397</v>
      </c>
      <c r="B54" s="1033" t="s">
        <v>715</v>
      </c>
      <c r="C54" s="1018"/>
      <c r="D54" s="1011">
        <v>15</v>
      </c>
      <c r="E54" s="1031">
        <v>5.13968402943115</v>
      </c>
      <c r="F54" s="1029">
        <v>13823915</v>
      </c>
      <c r="G54" s="1029">
        <v>4539492</v>
      </c>
      <c r="H54" s="1028">
        <f>+F54-G54</f>
        <v>9284423</v>
      </c>
      <c r="I54" s="1003">
        <f>(E54*F54)/100</f>
        <v>710505.551497137</v>
      </c>
    </row>
    <row r="55" spans="1:9" ht="12.75">
      <c r="A55" s="1032">
        <v>397</v>
      </c>
      <c r="B55" s="1033" t="s">
        <v>716</v>
      </c>
      <c r="C55" s="1018"/>
      <c r="D55" s="1011">
        <v>15</v>
      </c>
      <c r="E55" s="1031">
        <v>85.3073616436466</v>
      </c>
      <c r="F55" s="1029">
        <v>680579</v>
      </c>
      <c r="G55" s="1029">
        <v>600902</v>
      </c>
      <c r="H55" s="1028">
        <f>+F55-G55</f>
        <v>79677</v>
      </c>
      <c r="I55" s="1003">
        <f>(E55*H55)/100</f>
        <v>67970.3465368083</v>
      </c>
    </row>
    <row r="56" spans="1:9" ht="12.75">
      <c r="A56" s="1032"/>
      <c r="B56" s="1033"/>
      <c r="C56" s="1018"/>
      <c r="D56" s="1011"/>
      <c r="E56" s="1034"/>
      <c r="F56" s="1028">
        <f>SUM(F54:F55)</f>
        <v>14504494</v>
      </c>
      <c r="G56" s="1028">
        <f>SUM(G54:G55)</f>
        <v>5140394</v>
      </c>
      <c r="H56" s="1028">
        <f>SUM(H54:H55)</f>
        <v>9364100</v>
      </c>
      <c r="I56" s="1024">
        <f>SUM(I54:I55)</f>
        <v>778475.8980339454</v>
      </c>
    </row>
    <row r="57" spans="1:9" ht="12.75">
      <c r="A57" s="1032"/>
      <c r="B57" s="1033"/>
      <c r="C57" s="1018"/>
      <c r="D57" s="1011"/>
      <c r="E57" s="1034"/>
      <c r="F57" s="1028"/>
      <c r="G57" s="1028"/>
      <c r="H57" s="1028"/>
      <c r="I57" s="1024"/>
    </row>
    <row r="58" spans="1:9" ht="12.75">
      <c r="A58" s="1032">
        <v>398</v>
      </c>
      <c r="B58" s="1033" t="s">
        <v>717</v>
      </c>
      <c r="C58" s="1018"/>
      <c r="D58" s="1011">
        <v>20</v>
      </c>
      <c r="E58" s="1031">
        <v>4.252545323504879</v>
      </c>
      <c r="F58" s="1029">
        <v>2492372</v>
      </c>
      <c r="G58" s="1029">
        <v>463117</v>
      </c>
      <c r="H58" s="1028">
        <f>+F58-G58</f>
        <v>2029255</v>
      </c>
      <c r="I58" s="1003">
        <f>(E58*F58)/100</f>
        <v>105989.24893034503</v>
      </c>
    </row>
    <row r="59" spans="1:9" ht="12.75">
      <c r="A59" s="1032">
        <v>398</v>
      </c>
      <c r="B59" s="1033" t="s">
        <v>718</v>
      </c>
      <c r="D59" s="1011">
        <v>20</v>
      </c>
      <c r="E59" s="1031">
        <v>14.0711000581943</v>
      </c>
      <c r="F59" s="1048">
        <v>612022</v>
      </c>
      <c r="G59" s="1048">
        <v>250062</v>
      </c>
      <c r="H59" s="1028">
        <f>+F59-G59</f>
        <v>361960</v>
      </c>
      <c r="I59" s="1003">
        <f>(E59*H59)/100</f>
        <v>50931.75377064009</v>
      </c>
    </row>
    <row r="60" spans="1:9" ht="12.75">
      <c r="A60" s="1032"/>
      <c r="B60" s="1033"/>
      <c r="D60" s="1011"/>
      <c r="E60" s="1034"/>
      <c r="F60" s="1028">
        <f>SUM(F58:F59)</f>
        <v>3104394</v>
      </c>
      <c r="G60" s="1028">
        <f>SUM(G58:G59)</f>
        <v>713179</v>
      </c>
      <c r="H60" s="1028">
        <f>SUM(H58:H59)</f>
        <v>2391215</v>
      </c>
      <c r="I60" s="1024">
        <f>SUM(I58:I59)</f>
        <v>156921.00270098512</v>
      </c>
    </row>
    <row r="61" spans="1:9" ht="12.75">
      <c r="A61" s="1049" t="s">
        <v>677</v>
      </c>
      <c r="B61" s="1008"/>
      <c r="C61" s="1008"/>
      <c r="D61" s="1065"/>
      <c r="E61" s="1072"/>
      <c r="F61" s="1074"/>
      <c r="G61" s="1074"/>
      <c r="H61" s="1074"/>
      <c r="I61" s="1074"/>
    </row>
    <row r="62" spans="1:3" ht="12.75">
      <c r="A62" s="1044">
        <v>1</v>
      </c>
      <c r="B62" s="1044" t="s">
        <v>719</v>
      </c>
      <c r="C62" s="1050"/>
    </row>
    <row r="63" spans="1:3" ht="12.75">
      <c r="A63" s="1008"/>
      <c r="B63" s="1044" t="s">
        <v>720</v>
      </c>
      <c r="C63" s="1008"/>
    </row>
    <row r="64" ht="12.75">
      <c r="B64" s="1044" t="s">
        <v>721</v>
      </c>
    </row>
    <row r="65" spans="6:9" ht="12.75">
      <c r="F65" s="1058"/>
      <c r="G65" s="1058"/>
      <c r="H65" s="1058"/>
      <c r="I65" s="1058"/>
    </row>
    <row r="66" ht="12.75">
      <c r="E66" s="1066"/>
    </row>
    <row r="67" spans="5:9" ht="12.75">
      <c r="E67" s="1066"/>
      <c r="F67" s="1003"/>
      <c r="G67" s="1003"/>
      <c r="H67" s="1003"/>
      <c r="I67" s="1003"/>
    </row>
    <row r="68" ht="12.75">
      <c r="H68" s="998" t="s">
        <v>363</v>
      </c>
    </row>
    <row r="69" spans="6:9" ht="12.75">
      <c r="F69" s="1003"/>
      <c r="G69" s="1003"/>
      <c r="H69" s="1003"/>
      <c r="I69" s="1003"/>
    </row>
    <row r="70" ht="12.75"/>
    <row r="71" ht="12.75"/>
    <row r="72" spans="6:9" ht="12.75">
      <c r="F72" s="1003"/>
      <c r="G72" s="1003"/>
      <c r="H72" s="1003"/>
      <c r="I72" s="1003"/>
    </row>
  </sheetData>
  <sheetProtection/>
  <mergeCells count="3">
    <mergeCell ref="A1:I1"/>
    <mergeCell ref="A3:I3"/>
    <mergeCell ref="A4:I4"/>
  </mergeCells>
  <printOptions horizontalCentered="1"/>
  <pageMargins left="0" right="0" top="0.5" bottom="0.5" header="0.5" footer="0.5"/>
  <pageSetup horizontalDpi="600" verticalDpi="600" orientation="landscape" scale="55" r:id="rId1"/>
  <headerFooter alignWithMargins="0">
    <oddHeader>&amp;RExhibit 1
Page &amp;P of &amp;N</oddHeader>
  </headerFooter>
</worksheet>
</file>

<file path=xl/worksheets/sheet2.xml><?xml version="1.0" encoding="utf-8"?>
<worksheet xmlns="http://schemas.openxmlformats.org/spreadsheetml/2006/main" xmlns:r="http://schemas.openxmlformats.org/officeDocument/2006/relationships">
  <sheetPr codeName="Sheet2">
    <tabColor rgb="FF92D050"/>
    <pageSetUpPr fitToPage="1"/>
  </sheetPr>
  <dimension ref="A1:I585"/>
  <sheetViews>
    <sheetView showGridLines="0" zoomScale="75" zoomScaleNormal="75" workbookViewId="0" topLeftCell="A1">
      <selection activeCell="A1" sqref="A1:H1"/>
    </sheetView>
  </sheetViews>
  <sheetFormatPr defaultColWidth="9.140625" defaultRowHeight="12.75"/>
  <cols>
    <col min="1" max="1" width="11.421875" style="331" customWidth="1"/>
    <col min="2" max="2" width="45.421875" style="0" customWidth="1"/>
    <col min="3" max="3" width="16.57421875" style="0" customWidth="1"/>
    <col min="4" max="5" width="16.8515625" style="0" bestFit="1" customWidth="1"/>
    <col min="6" max="6" width="16.8515625" style="0" customWidth="1"/>
    <col min="7" max="7" width="16.57421875" style="0" bestFit="1" customWidth="1"/>
    <col min="8" max="8" width="84.7109375" style="0" customWidth="1"/>
    <col min="9" max="9" width="9.140625" style="0" customWidth="1"/>
  </cols>
  <sheetData>
    <row r="1" spans="1:8" ht="18">
      <c r="A1" s="1079" t="str">
        <f>'Appendix A'!A3</f>
        <v>PPL Electric Utilities Corporation</v>
      </c>
      <c r="B1" s="1107"/>
      <c r="C1" s="1107"/>
      <c r="D1" s="1107"/>
      <c r="E1" s="1107"/>
      <c r="F1" s="1107"/>
      <c r="G1" s="1107"/>
      <c r="H1" s="1108"/>
    </row>
    <row r="2" spans="1:8" ht="18">
      <c r="A2" s="525"/>
      <c r="B2" s="616"/>
      <c r="C2" s="454"/>
      <c r="D2" s="454"/>
      <c r="E2" s="454"/>
      <c r="F2" s="454"/>
      <c r="G2" s="454"/>
      <c r="H2" s="612"/>
    </row>
    <row r="3" spans="1:8" ht="15">
      <c r="A3" s="1097" t="s">
        <v>262</v>
      </c>
      <c r="B3" s="1097"/>
      <c r="C3" s="1097"/>
      <c r="D3" s="1097"/>
      <c r="E3" s="1097"/>
      <c r="F3" s="1097"/>
      <c r="G3" s="1097"/>
      <c r="H3" s="1097"/>
    </row>
    <row r="4" spans="1:8" ht="15">
      <c r="A4" s="453"/>
      <c r="B4" s="390"/>
      <c r="C4" s="390"/>
      <c r="D4" s="390"/>
      <c r="E4" s="390"/>
      <c r="F4" s="390"/>
      <c r="G4" s="390"/>
      <c r="H4" s="390"/>
    </row>
    <row r="5" spans="1:8" ht="12.75">
      <c r="A5" s="357"/>
      <c r="B5" s="2"/>
      <c r="C5" s="2"/>
      <c r="D5" s="2"/>
      <c r="E5" s="2"/>
      <c r="F5" s="2"/>
      <c r="H5" s="2"/>
    </row>
    <row r="6" spans="1:8" ht="15">
      <c r="A6" s="357"/>
      <c r="B6" s="2"/>
      <c r="C6" s="2"/>
      <c r="E6" s="229"/>
      <c r="F6" s="2"/>
      <c r="G6" s="229" t="s">
        <v>476</v>
      </c>
      <c r="H6" s="797"/>
    </row>
    <row r="7" spans="1:8" ht="12.75">
      <c r="A7" s="357"/>
      <c r="B7" s="2"/>
      <c r="C7" s="2"/>
      <c r="D7" s="229" t="s">
        <v>736</v>
      </c>
      <c r="E7" s="229" t="s">
        <v>741</v>
      </c>
      <c r="F7" s="229" t="s">
        <v>743</v>
      </c>
      <c r="G7" s="229" t="s">
        <v>736</v>
      </c>
      <c r="H7" s="2"/>
    </row>
    <row r="8" spans="1:8" ht="12.75">
      <c r="A8" s="357"/>
      <c r="B8" s="2"/>
      <c r="C8" s="2"/>
      <c r="D8" s="229" t="s">
        <v>742</v>
      </c>
      <c r="E8" s="229" t="s">
        <v>742</v>
      </c>
      <c r="F8" s="229" t="s">
        <v>742</v>
      </c>
      <c r="G8" s="229" t="s">
        <v>12</v>
      </c>
      <c r="H8" s="2"/>
    </row>
    <row r="9" spans="1:8" ht="12.75">
      <c r="A9" s="357"/>
      <c r="B9" s="2"/>
      <c r="C9" s="2"/>
      <c r="D9" s="2"/>
      <c r="E9" s="2"/>
      <c r="F9" s="2"/>
      <c r="G9" s="2"/>
      <c r="H9" s="2"/>
    </row>
    <row r="10" spans="1:8" ht="12.75">
      <c r="A10" s="357"/>
      <c r="B10" s="2"/>
      <c r="C10" s="2"/>
      <c r="D10" s="2"/>
      <c r="E10" s="2"/>
      <c r="F10" s="2"/>
      <c r="G10" s="2"/>
      <c r="H10" s="2"/>
    </row>
    <row r="11" spans="1:8" ht="12.75">
      <c r="A11" s="357"/>
      <c r="B11" s="344" t="s">
        <v>738</v>
      </c>
      <c r="C11" s="2"/>
      <c r="D11" s="327">
        <f>+E115</f>
        <v>-554491070</v>
      </c>
      <c r="E11" s="327">
        <f>+F115</f>
        <v>0</v>
      </c>
      <c r="F11" s="327">
        <f>+G115</f>
        <v>-56993356</v>
      </c>
      <c r="G11" s="327"/>
      <c r="H11" s="2" t="s">
        <v>592</v>
      </c>
    </row>
    <row r="12" spans="1:8" ht="12.75">
      <c r="A12" s="357"/>
      <c r="B12" s="344" t="s">
        <v>739</v>
      </c>
      <c r="C12" s="2"/>
      <c r="D12" s="327">
        <f>+E159</f>
        <v>0</v>
      </c>
      <c r="E12" s="327">
        <f>+F159</f>
        <v>-17534209</v>
      </c>
      <c r="F12" s="327">
        <f>+G159</f>
        <v>-90114</v>
      </c>
      <c r="G12" s="327"/>
      <c r="H12" s="2" t="s">
        <v>593</v>
      </c>
    </row>
    <row r="13" spans="1:8" ht="12.75">
      <c r="A13" s="357"/>
      <c r="B13" s="344" t="s">
        <v>737</v>
      </c>
      <c r="C13" s="440"/>
      <c r="D13" s="327">
        <f>+E71</f>
        <v>121776193</v>
      </c>
      <c r="E13" s="327">
        <f>F71</f>
        <v>0</v>
      </c>
      <c r="F13" s="327">
        <f>G71</f>
        <v>65883620</v>
      </c>
      <c r="G13" s="327"/>
      <c r="H13" s="2" t="s">
        <v>594</v>
      </c>
    </row>
    <row r="14" spans="1:8" ht="12.75">
      <c r="A14" s="357"/>
      <c r="B14" s="344" t="s">
        <v>519</v>
      </c>
      <c r="C14" s="2"/>
      <c r="D14" s="327">
        <f>SUM(D11:D13)</f>
        <v>-432714877</v>
      </c>
      <c r="E14" s="327">
        <f>SUM(E11:E13)</f>
        <v>-17534209</v>
      </c>
      <c r="F14" s="327">
        <f>SUM(F11:F13)</f>
        <v>8800150</v>
      </c>
      <c r="G14" s="327"/>
      <c r="H14" s="327" t="s">
        <v>596</v>
      </c>
    </row>
    <row r="15" spans="1:8" ht="12.75">
      <c r="A15" s="357"/>
      <c r="B15" s="344" t="s">
        <v>463</v>
      </c>
      <c r="C15" s="2"/>
      <c r="D15" s="2"/>
      <c r="E15" s="2"/>
      <c r="F15" s="552">
        <f>'Appendix A'!H15</f>
        <v>0.09918079240879704</v>
      </c>
      <c r="G15" s="2"/>
      <c r="H15" s="2"/>
    </row>
    <row r="16" spans="1:8" ht="12.75">
      <c r="A16" s="357"/>
      <c r="B16" s="344" t="s">
        <v>469</v>
      </c>
      <c r="C16" s="2"/>
      <c r="D16" s="2"/>
      <c r="E16" s="552">
        <f>'Appendix A'!H30</f>
        <v>0.4639235650515972</v>
      </c>
      <c r="F16" s="2"/>
      <c r="G16" s="2"/>
      <c r="H16" s="2"/>
    </row>
    <row r="17" spans="1:8" ht="12.75">
      <c r="A17" s="357"/>
      <c r="B17" s="344" t="s">
        <v>12</v>
      </c>
      <c r="C17" s="2"/>
      <c r="D17" s="327">
        <f>+D14</f>
        <v>-432714877</v>
      </c>
      <c r="E17" s="327">
        <f>+E16*E14</f>
        <v>-8134532.749639802</v>
      </c>
      <c r="F17" s="327">
        <f>+F15*F14</f>
        <v>872805.8503162753</v>
      </c>
      <c r="G17" s="327">
        <f>SUM(D17:F17)</f>
        <v>-439976603.8993235</v>
      </c>
      <c r="H17" s="522" t="s">
        <v>443</v>
      </c>
    </row>
    <row r="18" spans="1:8" ht="12.75">
      <c r="A18" s="357"/>
      <c r="B18" s="2"/>
      <c r="C18" s="2"/>
      <c r="D18" s="498" t="s">
        <v>597</v>
      </c>
      <c r="E18" s="498" t="s">
        <v>598</v>
      </c>
      <c r="F18" s="498" t="s">
        <v>598</v>
      </c>
      <c r="G18" s="2"/>
      <c r="H18" s="2"/>
    </row>
    <row r="19" spans="1:8" ht="12.75">
      <c r="A19" s="357"/>
      <c r="B19" s="2"/>
      <c r="C19" s="2"/>
      <c r="D19" s="498"/>
      <c r="E19" s="498"/>
      <c r="F19" s="498"/>
      <c r="G19" s="2"/>
      <c r="H19" s="2"/>
    </row>
    <row r="20" spans="1:8" ht="12.75">
      <c r="A20" s="2"/>
      <c r="B20" s="2"/>
      <c r="C20" s="2"/>
      <c r="D20" s="2"/>
      <c r="E20" s="2"/>
      <c r="F20" s="2"/>
      <c r="G20" s="2"/>
      <c r="H20" s="2"/>
    </row>
    <row r="21" spans="1:8" ht="12.75">
      <c r="A21" s="357"/>
      <c r="B21" s="2"/>
      <c r="C21" s="2"/>
      <c r="D21" s="2"/>
      <c r="E21" s="2"/>
      <c r="F21" s="2"/>
      <c r="G21" s="2"/>
      <c r="H21" s="2"/>
    </row>
    <row r="22" spans="1:8" ht="12.75">
      <c r="A22" s="499" t="s">
        <v>599</v>
      </c>
      <c r="B22" s="2"/>
      <c r="C22" s="2"/>
      <c r="D22" s="2"/>
      <c r="E22" s="2"/>
      <c r="F22" s="2"/>
      <c r="G22" s="2"/>
      <c r="H22" s="2"/>
    </row>
    <row r="23" spans="1:8" ht="12.75">
      <c r="A23" s="499" t="s">
        <v>600</v>
      </c>
      <c r="B23" s="2"/>
      <c r="C23" s="2"/>
      <c r="D23" s="2"/>
      <c r="E23" s="2"/>
      <c r="F23" s="2"/>
      <c r="G23" s="2"/>
      <c r="H23" s="2"/>
    </row>
    <row r="24" spans="1:8" ht="15">
      <c r="A24" s="357"/>
      <c r="B24" s="453"/>
      <c r="C24" s="453"/>
      <c r="D24" s="453"/>
      <c r="E24" s="453"/>
      <c r="F24" s="453"/>
      <c r="G24" s="453"/>
      <c r="H24" s="2"/>
    </row>
    <row r="25" spans="1:8" ht="12.75">
      <c r="A25" s="357"/>
      <c r="B25" s="2"/>
      <c r="C25" s="2"/>
      <c r="D25" s="2"/>
      <c r="E25" s="2"/>
      <c r="F25" s="2"/>
      <c r="G25" s="344"/>
      <c r="H25" s="2"/>
    </row>
    <row r="26" spans="1:8" ht="12.75">
      <c r="A26" s="358" t="s">
        <v>365</v>
      </c>
      <c r="B26" s="358"/>
      <c r="C26" s="402" t="s">
        <v>477</v>
      </c>
      <c r="D26" s="402" t="s">
        <v>348</v>
      </c>
      <c r="E26" s="402" t="s">
        <v>366</v>
      </c>
      <c r="F26" s="402" t="s">
        <v>364</v>
      </c>
      <c r="G26" s="402" t="s">
        <v>92</v>
      </c>
      <c r="H26" s="402" t="s">
        <v>367</v>
      </c>
    </row>
    <row r="27" spans="1:7" ht="12.75">
      <c r="A27" s="357"/>
      <c r="D27" s="229" t="s">
        <v>440</v>
      </c>
      <c r="F27" s="229"/>
      <c r="G27" s="229"/>
    </row>
    <row r="28" spans="1:7" ht="12.75">
      <c r="A28" s="458" t="s">
        <v>737</v>
      </c>
      <c r="C28" s="229" t="s">
        <v>476</v>
      </c>
      <c r="D28" s="229" t="s">
        <v>441</v>
      </c>
      <c r="E28" s="229" t="s">
        <v>736</v>
      </c>
      <c r="F28" s="229" t="s">
        <v>741</v>
      </c>
      <c r="G28" s="229" t="s">
        <v>743</v>
      </c>
    </row>
    <row r="29" spans="1:8" ht="12.75">
      <c r="A29" s="357"/>
      <c r="B29" s="2"/>
      <c r="C29" s="229"/>
      <c r="D29" s="229" t="s">
        <v>742</v>
      </c>
      <c r="E29" s="229" t="s">
        <v>742</v>
      </c>
      <c r="F29" s="229" t="s">
        <v>742</v>
      </c>
      <c r="G29" s="229" t="s">
        <v>742</v>
      </c>
      <c r="H29" s="229" t="s">
        <v>341</v>
      </c>
    </row>
    <row r="30" spans="2:7" ht="16.5" customHeight="1">
      <c r="B30" s="232"/>
      <c r="C30" s="232"/>
      <c r="E30" s="403"/>
      <c r="F30" s="403"/>
      <c r="G30" s="403"/>
    </row>
    <row r="31" spans="1:9" ht="12.75" customHeight="1">
      <c r="A31" s="1110" t="s">
        <v>421</v>
      </c>
      <c r="B31" s="1111"/>
      <c r="C31" s="359"/>
      <c r="D31" s="359"/>
      <c r="E31" s="359"/>
      <c r="F31" s="359"/>
      <c r="G31" s="359"/>
      <c r="H31" s="360"/>
      <c r="I31" s="252"/>
    </row>
    <row r="32" spans="1:9" ht="25.5">
      <c r="A32" s="958" t="s">
        <v>160</v>
      </c>
      <c r="B32" s="781"/>
      <c r="C32" s="768">
        <f aca="true" t="shared" si="0" ref="C32:C64">SUM(D32:G32)</f>
        <v>59377</v>
      </c>
      <c r="D32" s="768">
        <v>59377</v>
      </c>
      <c r="E32" s="768"/>
      <c r="F32" s="768"/>
      <c r="G32" s="768"/>
      <c r="H32" s="789" t="s">
        <v>806</v>
      </c>
      <c r="I32" s="252"/>
    </row>
    <row r="33" spans="1:9" ht="25.5">
      <c r="A33" s="958" t="s">
        <v>161</v>
      </c>
      <c r="B33" s="781"/>
      <c r="C33" s="768">
        <f t="shared" si="0"/>
        <v>122249</v>
      </c>
      <c r="D33" s="768"/>
      <c r="E33" s="768">
        <v>122249</v>
      </c>
      <c r="F33" s="768"/>
      <c r="G33" s="768"/>
      <c r="H33" s="789" t="s">
        <v>807</v>
      </c>
      <c r="I33" s="252"/>
    </row>
    <row r="34" spans="1:9" ht="25.5">
      <c r="A34" s="958" t="s">
        <v>163</v>
      </c>
      <c r="B34" s="781"/>
      <c r="C34" s="768">
        <f t="shared" si="0"/>
        <v>42113</v>
      </c>
      <c r="D34" s="768">
        <v>42113</v>
      </c>
      <c r="E34" s="768"/>
      <c r="F34" s="768"/>
      <c r="G34" s="768"/>
      <c r="H34" s="789" t="s">
        <v>808</v>
      </c>
      <c r="I34" s="252"/>
    </row>
    <row r="35" spans="1:9" ht="25.5">
      <c r="A35" s="958" t="s">
        <v>162</v>
      </c>
      <c r="B35" s="781"/>
      <c r="C35" s="768">
        <f t="shared" si="0"/>
        <v>86698</v>
      </c>
      <c r="D35" s="768"/>
      <c r="E35" s="768">
        <v>86698</v>
      </c>
      <c r="F35" s="768"/>
      <c r="G35" s="768"/>
      <c r="H35" s="789" t="s">
        <v>809</v>
      </c>
      <c r="I35" s="252"/>
    </row>
    <row r="36" spans="1:9" ht="25.5">
      <c r="A36" s="958" t="s">
        <v>234</v>
      </c>
      <c r="B36" s="781"/>
      <c r="C36" s="768">
        <f t="shared" si="0"/>
        <v>88744442</v>
      </c>
      <c r="D36" s="768">
        <v>88744442</v>
      </c>
      <c r="E36" s="768"/>
      <c r="F36" s="768"/>
      <c r="G36" s="768"/>
      <c r="H36" s="360" t="s">
        <v>498</v>
      </c>
      <c r="I36" s="252"/>
    </row>
    <row r="37" spans="1:9" ht="25.5">
      <c r="A37" s="958" t="s">
        <v>233</v>
      </c>
      <c r="B37" s="781"/>
      <c r="C37" s="768">
        <f>SUM(D37:G37)</f>
        <v>21756187</v>
      </c>
      <c r="D37" s="768"/>
      <c r="E37" s="768">
        <v>21756187</v>
      </c>
      <c r="F37" s="768"/>
      <c r="G37" s="768"/>
      <c r="H37" s="360" t="s">
        <v>499</v>
      </c>
      <c r="I37" s="252"/>
    </row>
    <row r="38" spans="1:9" ht="12.75">
      <c r="A38" s="958" t="s">
        <v>422</v>
      </c>
      <c r="B38" s="781"/>
      <c r="C38" s="768">
        <f t="shared" si="0"/>
        <v>13712008</v>
      </c>
      <c r="D38" s="768">
        <v>13712008</v>
      </c>
      <c r="E38" s="768"/>
      <c r="F38" s="768"/>
      <c r="G38" s="768"/>
      <c r="H38" s="790" t="s">
        <v>810</v>
      </c>
      <c r="I38" s="252"/>
    </row>
    <row r="39" spans="1:9" ht="12.75">
      <c r="A39" s="958" t="s">
        <v>634</v>
      </c>
      <c r="B39" s="781"/>
      <c r="C39" s="768">
        <f>SUM(D39:G39)</f>
        <v>194771620</v>
      </c>
      <c r="D39" s="768">
        <v>194771620</v>
      </c>
      <c r="E39" s="768"/>
      <c r="F39" s="768"/>
      <c r="G39" s="768"/>
      <c r="H39" s="790" t="s">
        <v>811</v>
      </c>
      <c r="I39" s="252"/>
    </row>
    <row r="40" spans="1:9" ht="12.75">
      <c r="A40" s="958" t="s">
        <v>423</v>
      </c>
      <c r="B40" s="781"/>
      <c r="C40" s="768">
        <f t="shared" si="0"/>
        <v>8983421</v>
      </c>
      <c r="D40" s="768">
        <v>8983421</v>
      </c>
      <c r="E40" s="768"/>
      <c r="F40" s="768"/>
      <c r="G40" s="768"/>
      <c r="H40" s="789" t="s">
        <v>812</v>
      </c>
      <c r="I40" s="252"/>
    </row>
    <row r="41" spans="1:9" ht="12.75">
      <c r="A41" s="958" t="s">
        <v>752</v>
      </c>
      <c r="B41" s="781"/>
      <c r="C41" s="768">
        <f t="shared" si="0"/>
        <v>60919181</v>
      </c>
      <c r="D41" s="768"/>
      <c r="E41" s="768"/>
      <c r="F41" s="768"/>
      <c r="G41" s="768">
        <v>60919181</v>
      </c>
      <c r="H41" s="789" t="s">
        <v>813</v>
      </c>
      <c r="I41" s="252"/>
    </row>
    <row r="42" spans="1:9" ht="12.75" customHeight="1">
      <c r="A42" s="958" t="s">
        <v>753</v>
      </c>
      <c r="B42" s="781"/>
      <c r="C42" s="768">
        <f t="shared" si="0"/>
        <v>-23168566</v>
      </c>
      <c r="D42" s="768">
        <v>-23168566</v>
      </c>
      <c r="E42" s="768"/>
      <c r="F42" s="768"/>
      <c r="G42" s="768"/>
      <c r="H42" s="789" t="s">
        <v>814</v>
      </c>
      <c r="I42" s="252"/>
    </row>
    <row r="43" spans="1:9" ht="12.75">
      <c r="A43" s="958" t="s">
        <v>424</v>
      </c>
      <c r="B43" s="781"/>
      <c r="C43" s="768">
        <f t="shared" si="0"/>
        <v>3438193</v>
      </c>
      <c r="D43" s="768"/>
      <c r="E43" s="768"/>
      <c r="F43" s="768"/>
      <c r="G43" s="768">
        <v>3438193</v>
      </c>
      <c r="H43" s="789" t="s">
        <v>813</v>
      </c>
      <c r="I43" s="252"/>
    </row>
    <row r="44" spans="1:9" ht="12.75">
      <c r="A44" s="958" t="s">
        <v>815</v>
      </c>
      <c r="B44" s="781"/>
      <c r="C44" s="768">
        <f t="shared" si="0"/>
        <v>1253575</v>
      </c>
      <c r="D44" s="768"/>
      <c r="E44" s="768"/>
      <c r="F44" s="768"/>
      <c r="G44" s="768">
        <v>1253575</v>
      </c>
      <c r="H44" s="789" t="s">
        <v>813</v>
      </c>
      <c r="I44" s="252"/>
    </row>
    <row r="45" spans="1:9" ht="12.75">
      <c r="A45" s="958" t="s">
        <v>801</v>
      </c>
      <c r="B45" s="781"/>
      <c r="C45" s="768">
        <f>SUM(D45:G45)</f>
        <v>-151549</v>
      </c>
      <c r="D45" s="768"/>
      <c r="E45" s="768"/>
      <c r="F45" s="768"/>
      <c r="G45" s="768">
        <v>-151549</v>
      </c>
      <c r="H45" s="789" t="s">
        <v>813</v>
      </c>
      <c r="I45" s="252"/>
    </row>
    <row r="46" spans="1:9" ht="12.75">
      <c r="A46" s="958" t="s">
        <v>428</v>
      </c>
      <c r="B46" s="781"/>
      <c r="C46" s="768">
        <f>SUM(D46:G46)</f>
        <v>424220</v>
      </c>
      <c r="D46" s="768"/>
      <c r="E46" s="768"/>
      <c r="F46" s="768"/>
      <c r="G46" s="768">
        <v>424220</v>
      </c>
      <c r="H46" s="789" t="s">
        <v>813</v>
      </c>
      <c r="I46" s="252"/>
    </row>
    <row r="47" spans="1:9" ht="25.5">
      <c r="A47" s="958" t="s">
        <v>425</v>
      </c>
      <c r="B47" s="781"/>
      <c r="C47" s="768">
        <f t="shared" si="0"/>
        <v>3287120</v>
      </c>
      <c r="D47" s="768">
        <v>3287120</v>
      </c>
      <c r="E47" s="768"/>
      <c r="F47" s="768"/>
      <c r="G47" s="768"/>
      <c r="H47" s="789" t="s">
        <v>816</v>
      </c>
      <c r="I47" s="252"/>
    </row>
    <row r="48" spans="1:9" ht="25.5">
      <c r="A48" s="958" t="s">
        <v>817</v>
      </c>
      <c r="B48" s="781"/>
      <c r="C48" s="768">
        <f t="shared" si="0"/>
        <v>-514340</v>
      </c>
      <c r="D48" s="768">
        <v>-514340</v>
      </c>
      <c r="E48" s="768"/>
      <c r="F48" s="768"/>
      <c r="G48" s="768"/>
      <c r="H48" s="360" t="s">
        <v>818</v>
      </c>
      <c r="I48" s="252"/>
    </row>
    <row r="49" spans="1:9" ht="12.75">
      <c r="A49" s="958" t="s">
        <v>802</v>
      </c>
      <c r="B49" s="781"/>
      <c r="C49" s="768">
        <f t="shared" si="0"/>
        <v>104039</v>
      </c>
      <c r="D49" s="768">
        <v>104039</v>
      </c>
      <c r="E49" s="768"/>
      <c r="F49" s="768"/>
      <c r="G49" s="768"/>
      <c r="H49" s="789" t="s">
        <v>637</v>
      </c>
      <c r="I49" s="252"/>
    </row>
    <row r="50" spans="1:9" ht="12.75">
      <c r="A50" s="958" t="s">
        <v>426</v>
      </c>
      <c r="B50" s="781"/>
      <c r="C50" s="768">
        <f t="shared" si="0"/>
        <v>-17</v>
      </c>
      <c r="D50" s="768">
        <v>-17</v>
      </c>
      <c r="E50" s="768"/>
      <c r="F50" s="768"/>
      <c r="G50" s="768"/>
      <c r="H50" s="789" t="s">
        <v>819</v>
      </c>
      <c r="I50" s="252"/>
    </row>
    <row r="51" spans="1:9" ht="12.75">
      <c r="A51" s="958" t="s">
        <v>820</v>
      </c>
      <c r="B51" s="781"/>
      <c r="C51" s="768">
        <f t="shared" si="0"/>
        <v>2608</v>
      </c>
      <c r="D51" s="768">
        <v>2608</v>
      </c>
      <c r="E51" s="768"/>
      <c r="F51" s="768"/>
      <c r="G51" s="768"/>
      <c r="H51" s="789" t="s">
        <v>821</v>
      </c>
      <c r="I51" s="252"/>
    </row>
    <row r="52" spans="1:9" ht="12.75" customHeight="1">
      <c r="A52" s="958" t="s">
        <v>429</v>
      </c>
      <c r="B52" s="781"/>
      <c r="C52" s="768">
        <f t="shared" si="0"/>
        <v>4209788</v>
      </c>
      <c r="D52" s="768">
        <v>4209788</v>
      </c>
      <c r="E52" s="768"/>
      <c r="F52" s="768"/>
      <c r="G52" s="768"/>
      <c r="H52" s="360" t="s">
        <v>822</v>
      </c>
      <c r="I52" s="252"/>
    </row>
    <row r="53" spans="1:9" ht="12.75">
      <c r="A53" s="765" t="s">
        <v>430</v>
      </c>
      <c r="B53" s="994"/>
      <c r="C53" s="768">
        <f t="shared" si="0"/>
        <v>4026565</v>
      </c>
      <c r="D53" s="768">
        <v>4026565</v>
      </c>
      <c r="E53" s="768"/>
      <c r="F53" s="768"/>
      <c r="G53" s="768"/>
      <c r="H53" s="360" t="s">
        <v>814</v>
      </c>
      <c r="I53" s="252"/>
    </row>
    <row r="54" spans="1:9" ht="12.75">
      <c r="A54" s="958" t="s">
        <v>635</v>
      </c>
      <c r="B54" s="994"/>
      <c r="C54" s="768">
        <f t="shared" si="0"/>
        <v>26649567</v>
      </c>
      <c r="D54" s="768">
        <v>26649567</v>
      </c>
      <c r="E54" s="768"/>
      <c r="F54" s="768"/>
      <c r="G54" s="768"/>
      <c r="H54" s="360" t="s">
        <v>823</v>
      </c>
      <c r="I54" s="252"/>
    </row>
    <row r="55" spans="1:9" ht="12.75" customHeight="1">
      <c r="A55" s="958" t="s">
        <v>636</v>
      </c>
      <c r="B55" s="1055"/>
      <c r="C55" s="768">
        <f t="shared" si="0"/>
        <v>122144</v>
      </c>
      <c r="D55" s="768">
        <v>122144</v>
      </c>
      <c r="E55" s="768"/>
      <c r="F55" s="768"/>
      <c r="G55" s="768"/>
      <c r="H55" s="360" t="s">
        <v>637</v>
      </c>
      <c r="I55" s="252"/>
    </row>
    <row r="56" spans="1:9" ht="12.75" customHeight="1">
      <c r="A56" s="958" t="s">
        <v>329</v>
      </c>
      <c r="B56" s="1055"/>
      <c r="C56" s="768">
        <f t="shared" si="0"/>
        <v>9079029</v>
      </c>
      <c r="D56" s="768">
        <v>9079029</v>
      </c>
      <c r="E56" s="768"/>
      <c r="F56" s="768"/>
      <c r="G56" s="768"/>
      <c r="H56" s="360" t="s">
        <v>108</v>
      </c>
      <c r="I56" s="252"/>
    </row>
    <row r="57" spans="1:9" ht="12.75" customHeight="1">
      <c r="A57" s="958" t="s">
        <v>330</v>
      </c>
      <c r="B57" s="1055"/>
      <c r="C57" s="768">
        <f t="shared" si="0"/>
        <v>2144825</v>
      </c>
      <c r="D57" s="768">
        <v>2144825</v>
      </c>
      <c r="E57" s="768"/>
      <c r="F57" s="768"/>
      <c r="G57" s="768"/>
      <c r="H57" s="360" t="s">
        <v>108</v>
      </c>
      <c r="I57" s="252"/>
    </row>
    <row r="58" spans="1:9" ht="12.75">
      <c r="A58" s="958" t="s">
        <v>331</v>
      </c>
      <c r="B58" s="1055"/>
      <c r="C58" s="768">
        <f t="shared" si="0"/>
        <v>16936053</v>
      </c>
      <c r="D58" s="768">
        <v>16936053</v>
      </c>
      <c r="E58" s="768"/>
      <c r="F58" s="768"/>
      <c r="G58" s="768"/>
      <c r="H58" s="360" t="s">
        <v>108</v>
      </c>
      <c r="I58" s="368"/>
    </row>
    <row r="59" spans="1:9" ht="12.75" customHeight="1">
      <c r="A59" s="958" t="s">
        <v>104</v>
      </c>
      <c r="B59" s="1055"/>
      <c r="C59" s="768">
        <f t="shared" si="0"/>
        <v>20015423</v>
      </c>
      <c r="D59" s="768"/>
      <c r="E59" s="768">
        <v>20015423</v>
      </c>
      <c r="F59" s="768"/>
      <c r="G59" s="768"/>
      <c r="H59" s="360" t="s">
        <v>332</v>
      </c>
      <c r="I59" s="252"/>
    </row>
    <row r="60" spans="1:9" ht="12.75">
      <c r="A60" s="958" t="s">
        <v>754</v>
      </c>
      <c r="B60" s="1055"/>
      <c r="C60" s="768">
        <f t="shared" si="0"/>
        <v>1236868</v>
      </c>
      <c r="D60" s="768">
        <v>1236868</v>
      </c>
      <c r="E60" s="768"/>
      <c r="F60" s="768"/>
      <c r="G60" s="768"/>
      <c r="H60" s="360" t="s">
        <v>108</v>
      </c>
      <c r="I60" s="252"/>
    </row>
    <row r="61" spans="1:9" ht="12.75">
      <c r="A61" s="958" t="s">
        <v>755</v>
      </c>
      <c r="B61" s="1055"/>
      <c r="C61" s="768">
        <f t="shared" si="0"/>
        <v>6600458</v>
      </c>
      <c r="D61" s="768">
        <v>6600458</v>
      </c>
      <c r="E61" s="768"/>
      <c r="F61" s="768"/>
      <c r="G61" s="768"/>
      <c r="H61" s="360" t="s">
        <v>108</v>
      </c>
      <c r="I61" s="252"/>
    </row>
    <row r="62" spans="1:9" ht="27.75" customHeight="1">
      <c r="A62" s="958" t="s">
        <v>638</v>
      </c>
      <c r="B62" s="1055"/>
      <c r="C62" s="768">
        <f t="shared" si="0"/>
        <v>1326664</v>
      </c>
      <c r="D62" s="768">
        <v>1326664</v>
      </c>
      <c r="E62" s="768"/>
      <c r="F62" s="768"/>
      <c r="G62" s="768"/>
      <c r="H62" s="360" t="s">
        <v>110</v>
      </c>
      <c r="I62" s="252"/>
    </row>
    <row r="63" spans="1:9" ht="12.75" customHeight="1">
      <c r="A63" s="958" t="s">
        <v>824</v>
      </c>
      <c r="B63" s="1055"/>
      <c r="C63" s="768">
        <f t="shared" si="0"/>
        <v>2034482</v>
      </c>
      <c r="D63" s="768">
        <v>2034482</v>
      </c>
      <c r="E63" s="768"/>
      <c r="F63" s="768"/>
      <c r="G63" s="768"/>
      <c r="H63" s="360" t="s">
        <v>825</v>
      </c>
      <c r="I63" s="252"/>
    </row>
    <row r="64" spans="1:9" ht="12.75" customHeight="1">
      <c r="A64" s="958" t="s">
        <v>639</v>
      </c>
      <c r="B64" s="1055"/>
      <c r="C64" s="768">
        <f t="shared" si="0"/>
        <v>143745433</v>
      </c>
      <c r="D64" s="768">
        <v>63740850</v>
      </c>
      <c r="E64" s="768">
        <v>80004583</v>
      </c>
      <c r="F64" s="768"/>
      <c r="G64" s="768"/>
      <c r="H64" s="1051" t="s">
        <v>826</v>
      </c>
      <c r="I64" s="252"/>
    </row>
    <row r="65" spans="1:9" ht="12.75" customHeight="1">
      <c r="A65" s="958" t="s">
        <v>427</v>
      </c>
      <c r="B65" s="781"/>
      <c r="C65" s="768">
        <f>SUM(D65:G65)</f>
        <v>-158936</v>
      </c>
      <c r="D65" s="768">
        <v>-158936</v>
      </c>
      <c r="E65" s="768"/>
      <c r="F65" s="768"/>
      <c r="G65" s="768"/>
      <c r="H65" s="1051" t="s">
        <v>827</v>
      </c>
      <c r="I65" s="252"/>
    </row>
    <row r="66" spans="1:9" ht="12.75" customHeight="1">
      <c r="A66" s="1064"/>
      <c r="B66" s="1063"/>
      <c r="C66" s="359"/>
      <c r="D66" s="359"/>
      <c r="E66" s="359"/>
      <c r="F66" s="359"/>
      <c r="G66" s="359"/>
      <c r="H66" s="360"/>
      <c r="I66" s="252"/>
    </row>
    <row r="67" spans="1:9" ht="12.75">
      <c r="A67" s="425"/>
      <c r="B67" s="426"/>
      <c r="C67" s="361"/>
      <c r="D67" s="361"/>
      <c r="E67" s="361"/>
      <c r="F67" s="361"/>
      <c r="G67" s="361"/>
      <c r="H67" s="360"/>
      <c r="I67" s="252"/>
    </row>
    <row r="68" spans="1:9" ht="12.75">
      <c r="A68" s="428" t="s">
        <v>11</v>
      </c>
      <c r="B68" s="366"/>
      <c r="C68" s="404">
        <f>SUBTOTAL(9,C31:C67)</f>
        <v>611840942</v>
      </c>
      <c r="D68" s="362">
        <f>SUM(D31:D67)</f>
        <v>423972182</v>
      </c>
      <c r="E68" s="362">
        <f>SUM(E31:E67)</f>
        <v>121985140</v>
      </c>
      <c r="F68" s="362">
        <f>SUM(F31:F67)</f>
        <v>0</v>
      </c>
      <c r="G68" s="362">
        <f>SUM(G31:G67)</f>
        <v>65883620</v>
      </c>
      <c r="H68" s="530"/>
      <c r="I68" s="252"/>
    </row>
    <row r="69" spans="1:9" ht="12.75">
      <c r="A69" s="427" t="s">
        <v>308</v>
      </c>
      <c r="B69" s="406"/>
      <c r="C69" s="359">
        <f>SUM(D69:G69)</f>
        <v>310437</v>
      </c>
      <c r="D69" s="359">
        <f>D32+D34</f>
        <v>101490</v>
      </c>
      <c r="E69" s="359">
        <f>E33+E35</f>
        <v>208947</v>
      </c>
      <c r="F69" s="363"/>
      <c r="G69" s="364"/>
      <c r="H69" s="365"/>
      <c r="I69" s="252"/>
    </row>
    <row r="70" spans="1:9" ht="12.75">
      <c r="A70" s="407" t="s">
        <v>309</v>
      </c>
      <c r="B70" s="378"/>
      <c r="C70" s="359">
        <f>SUM(D70:G70)</f>
        <v>12506578</v>
      </c>
      <c r="D70" s="359">
        <v>12506578</v>
      </c>
      <c r="E70" s="359"/>
      <c r="F70" s="359"/>
      <c r="G70" s="359"/>
      <c r="H70" s="365"/>
      <c r="I70" s="252"/>
    </row>
    <row r="71" spans="1:9" ht="12.75">
      <c r="A71" s="408" t="s">
        <v>476</v>
      </c>
      <c r="B71" s="366"/>
      <c r="C71" s="362">
        <f>+C68-C69-C70</f>
        <v>599023927</v>
      </c>
      <c r="D71" s="362">
        <f>+D68-D69-D70</f>
        <v>411364114</v>
      </c>
      <c r="E71" s="362">
        <f>+E68-E69-E70</f>
        <v>121776193</v>
      </c>
      <c r="F71" s="362">
        <f>+F68-F69-F70</f>
        <v>0</v>
      </c>
      <c r="G71" s="362">
        <f>+G68-G69-G70</f>
        <v>65883620</v>
      </c>
      <c r="H71" s="405"/>
      <c r="I71" s="252"/>
    </row>
    <row r="72" spans="1:9" ht="12.75">
      <c r="A72" s="371"/>
      <c r="B72" s="375"/>
      <c r="C72" s="252"/>
      <c r="D72" s="386"/>
      <c r="E72" s="310"/>
      <c r="F72" s="387"/>
      <c r="G72" s="309"/>
      <c r="H72" s="374"/>
      <c r="I72" s="252"/>
    </row>
    <row r="73" spans="1:9" ht="12.75" customHeight="1">
      <c r="A73" s="371"/>
      <c r="B73" s="381" t="s">
        <v>744</v>
      </c>
      <c r="C73" s="382"/>
      <c r="D73" s="383"/>
      <c r="E73" s="388"/>
      <c r="F73" s="389"/>
      <c r="G73" s="409"/>
      <c r="H73" s="374"/>
      <c r="I73" s="252"/>
    </row>
    <row r="74" spans="1:9" ht="35.25" customHeight="1">
      <c r="A74" s="371"/>
      <c r="B74" s="1091" t="s">
        <v>180</v>
      </c>
      <c r="C74" s="1092"/>
      <c r="D74" s="1092"/>
      <c r="E74" s="1092"/>
      <c r="F74" s="1092"/>
      <c r="G74" s="1093"/>
      <c r="H74" s="456"/>
      <c r="I74" s="252"/>
    </row>
    <row r="75" spans="1:9" ht="12.75">
      <c r="A75" s="371"/>
      <c r="B75" s="385" t="s">
        <v>181</v>
      </c>
      <c r="C75" s="252"/>
      <c r="D75" s="310"/>
      <c r="E75" s="310"/>
      <c r="F75" s="309"/>
      <c r="G75" s="410"/>
      <c r="H75" s="374"/>
      <c r="I75" s="252"/>
    </row>
    <row r="76" spans="1:9" ht="12.75">
      <c r="A76" s="371"/>
      <c r="B76" s="385" t="s">
        <v>446</v>
      </c>
      <c r="C76" s="252"/>
      <c r="D76" s="310"/>
      <c r="E76" s="310"/>
      <c r="F76" s="309"/>
      <c r="G76" s="410"/>
      <c r="H76" s="456"/>
      <c r="I76" s="252"/>
    </row>
    <row r="77" spans="1:9" ht="12.75" customHeight="1">
      <c r="A77" s="371"/>
      <c r="B77" s="385" t="s">
        <v>449</v>
      </c>
      <c r="C77" s="252"/>
      <c r="D77" s="310"/>
      <c r="E77" s="310"/>
      <c r="F77" s="309"/>
      <c r="G77" s="410"/>
      <c r="H77" s="374"/>
      <c r="I77" s="252"/>
    </row>
    <row r="78" spans="1:9" ht="37.5" customHeight="1">
      <c r="A78" s="371"/>
      <c r="B78" s="1088" t="s">
        <v>605</v>
      </c>
      <c r="C78" s="1089"/>
      <c r="D78" s="1089"/>
      <c r="E78" s="1089"/>
      <c r="F78" s="1089"/>
      <c r="G78" s="1090"/>
      <c r="H78" s="252"/>
      <c r="I78" s="379"/>
    </row>
    <row r="79" spans="1:9" ht="15">
      <c r="A79" s="371"/>
      <c r="B79" s="369"/>
      <c r="C79" s="369"/>
      <c r="D79" s="369"/>
      <c r="E79" s="369"/>
      <c r="F79" s="369"/>
      <c r="G79" s="369"/>
      <c r="H79" s="374"/>
      <c r="I79" s="252"/>
    </row>
    <row r="80" spans="1:9" ht="18">
      <c r="A80" s="1109" t="str">
        <f>A1</f>
        <v>PPL Electric Utilities Corporation</v>
      </c>
      <c r="B80" s="1109"/>
      <c r="C80" s="1109"/>
      <c r="D80" s="1109"/>
      <c r="E80" s="1109"/>
      <c r="F80" s="1109"/>
      <c r="G80" s="1109"/>
      <c r="H80" s="1109"/>
      <c r="I80" s="252"/>
    </row>
    <row r="81" spans="1:9" ht="12.75">
      <c r="A81" s="367"/>
      <c r="B81" s="368"/>
      <c r="C81" s="252"/>
      <c r="D81" s="252"/>
      <c r="E81" s="252"/>
      <c r="F81" s="252"/>
      <c r="G81" s="252"/>
      <c r="H81" s="310"/>
      <c r="I81" s="252"/>
    </row>
    <row r="82" spans="1:9" ht="15">
      <c r="A82" s="1097" t="s">
        <v>262</v>
      </c>
      <c r="B82" s="1097"/>
      <c r="C82" s="1097"/>
      <c r="D82" s="1097"/>
      <c r="E82" s="1097"/>
      <c r="F82" s="1097"/>
      <c r="G82" s="1097"/>
      <c r="H82" s="1097"/>
      <c r="I82" s="252"/>
    </row>
    <row r="83" spans="1:9" ht="15">
      <c r="A83" s="369"/>
      <c r="B83" s="370"/>
      <c r="C83" s="370"/>
      <c r="D83" s="370"/>
      <c r="E83" s="370"/>
      <c r="F83" s="370"/>
      <c r="G83" s="370"/>
      <c r="H83" s="370"/>
      <c r="I83" s="252"/>
    </row>
    <row r="84" spans="1:9" ht="12.75">
      <c r="A84" s="371"/>
      <c r="B84" s="402" t="s">
        <v>365</v>
      </c>
      <c r="C84" s="402" t="s">
        <v>477</v>
      </c>
      <c r="D84" s="402" t="s">
        <v>348</v>
      </c>
      <c r="E84" s="402" t="s">
        <v>366</v>
      </c>
      <c r="F84" s="402" t="s">
        <v>364</v>
      </c>
      <c r="G84" s="402" t="s">
        <v>92</v>
      </c>
      <c r="H84" s="402" t="s">
        <v>367</v>
      </c>
      <c r="I84" s="252"/>
    </row>
    <row r="85" spans="1:9" ht="12.75">
      <c r="A85" s="371"/>
      <c r="D85" s="229" t="s">
        <v>440</v>
      </c>
      <c r="F85" s="229"/>
      <c r="G85" s="229"/>
      <c r="I85" s="252"/>
    </row>
    <row r="86" spans="1:9" ht="12.75">
      <c r="A86" s="371"/>
      <c r="B86" s="372" t="s">
        <v>738</v>
      </c>
      <c r="C86" s="229" t="s">
        <v>476</v>
      </c>
      <c r="D86" s="229" t="s">
        <v>441</v>
      </c>
      <c r="E86" s="229" t="s">
        <v>736</v>
      </c>
      <c r="F86" s="229" t="s">
        <v>741</v>
      </c>
      <c r="G86" s="229" t="s">
        <v>743</v>
      </c>
      <c r="I86" s="252"/>
    </row>
    <row r="87" spans="1:9" ht="12.75" customHeight="1">
      <c r="A87" s="371"/>
      <c r="B87" s="233"/>
      <c r="C87" s="229"/>
      <c r="D87" s="229" t="s">
        <v>742</v>
      </c>
      <c r="E87" s="229" t="s">
        <v>742</v>
      </c>
      <c r="F87" s="229" t="s">
        <v>742</v>
      </c>
      <c r="G87" s="229" t="s">
        <v>742</v>
      </c>
      <c r="H87" s="229" t="s">
        <v>341</v>
      </c>
      <c r="I87" s="252"/>
    </row>
    <row r="88" spans="1:9" ht="12.75" customHeight="1">
      <c r="A88" s="1086" t="s">
        <v>431</v>
      </c>
      <c r="B88" s="1087"/>
      <c r="C88" s="777"/>
      <c r="D88" s="359"/>
      <c r="E88" s="359"/>
      <c r="F88" s="359"/>
      <c r="G88" s="359"/>
      <c r="H88" s="360"/>
      <c r="I88" s="252"/>
    </row>
    <row r="89" spans="1:9" ht="12.75">
      <c r="A89" s="958" t="s">
        <v>164</v>
      </c>
      <c r="B89" s="781"/>
      <c r="C89" s="768">
        <f aca="true" t="shared" si="1" ref="C89:C97">SUM(D89:G89)</f>
        <v>-679463421</v>
      </c>
      <c r="D89" s="768">
        <v>-679463421</v>
      </c>
      <c r="E89" s="768"/>
      <c r="F89" s="768"/>
      <c r="G89" s="768"/>
      <c r="H89" s="789" t="s">
        <v>828</v>
      </c>
      <c r="I89" s="252"/>
    </row>
    <row r="90" spans="1:9" ht="25.5">
      <c r="A90" s="958" t="s">
        <v>165</v>
      </c>
      <c r="B90" s="781"/>
      <c r="C90" s="768">
        <f t="shared" si="1"/>
        <v>-58183998</v>
      </c>
      <c r="D90" s="768"/>
      <c r="E90" s="768"/>
      <c r="F90" s="768"/>
      <c r="G90" s="768">
        <v>-58183998</v>
      </c>
      <c r="H90" s="789" t="s">
        <v>829</v>
      </c>
      <c r="I90" s="252"/>
    </row>
    <row r="91" spans="1:9" ht="38.25">
      <c r="A91" s="958" t="s">
        <v>412</v>
      </c>
      <c r="B91" s="781"/>
      <c r="C91" s="768">
        <f>SUM(D91:G91)</f>
        <v>-524255566</v>
      </c>
      <c r="D91" s="768"/>
      <c r="E91" s="768">
        <v>-524255566</v>
      </c>
      <c r="F91" s="768"/>
      <c r="G91" s="768"/>
      <c r="H91" s="789" t="s">
        <v>413</v>
      </c>
      <c r="I91" s="252"/>
    </row>
    <row r="92" spans="1:9" ht="25.5">
      <c r="A92" s="958" t="s">
        <v>432</v>
      </c>
      <c r="B92" s="781"/>
      <c r="C92" s="768">
        <f t="shared" si="1"/>
        <v>-190670812</v>
      </c>
      <c r="D92" s="768">
        <v>-190670812</v>
      </c>
      <c r="E92" s="768"/>
      <c r="F92" s="768"/>
      <c r="G92" s="768"/>
      <c r="H92" s="790" t="s">
        <v>503</v>
      </c>
      <c r="I92" s="252"/>
    </row>
    <row r="93" spans="1:9" ht="25.5">
      <c r="A93" s="958" t="s">
        <v>166</v>
      </c>
      <c r="B93" s="781"/>
      <c r="C93" s="768">
        <f t="shared" si="1"/>
        <v>-325398941</v>
      </c>
      <c r="D93" s="768">
        <v>-325398941</v>
      </c>
      <c r="E93" s="768"/>
      <c r="F93" s="768"/>
      <c r="G93" s="768"/>
      <c r="H93" s="789" t="s">
        <v>830</v>
      </c>
      <c r="I93" s="252"/>
    </row>
    <row r="94" spans="1:9" ht="12.75" customHeight="1">
      <c r="A94" s="958" t="s">
        <v>167</v>
      </c>
      <c r="B94" s="781"/>
      <c r="C94" s="768">
        <f t="shared" si="1"/>
        <v>1190642</v>
      </c>
      <c r="D94" s="768"/>
      <c r="E94" s="768"/>
      <c r="F94" s="768"/>
      <c r="G94" s="768">
        <v>1190642</v>
      </c>
      <c r="H94" s="789" t="s">
        <v>831</v>
      </c>
      <c r="I94" s="252"/>
    </row>
    <row r="95" spans="1:9" ht="12.75">
      <c r="A95" s="958" t="s">
        <v>747</v>
      </c>
      <c r="B95" s="781"/>
      <c r="C95" s="768">
        <f t="shared" si="1"/>
        <v>-30096914</v>
      </c>
      <c r="D95" s="768"/>
      <c r="E95" s="768">
        <v>-30096914</v>
      </c>
      <c r="F95" s="768"/>
      <c r="G95" s="768"/>
      <c r="H95" s="789" t="s">
        <v>832</v>
      </c>
      <c r="I95" s="252"/>
    </row>
    <row r="96" spans="1:9" ht="12.75" customHeight="1">
      <c r="A96" s="958" t="s">
        <v>414</v>
      </c>
      <c r="B96" s="781"/>
      <c r="C96" s="768">
        <f t="shared" si="1"/>
        <v>-120371</v>
      </c>
      <c r="D96" s="768">
        <v>-120371</v>
      </c>
      <c r="E96" s="768"/>
      <c r="F96" s="768"/>
      <c r="G96" s="768"/>
      <c r="H96" s="790" t="s">
        <v>833</v>
      </c>
      <c r="I96" s="252"/>
    </row>
    <row r="97" spans="1:9" ht="12.75" customHeight="1">
      <c r="A97" s="958" t="s">
        <v>415</v>
      </c>
      <c r="B97" s="958"/>
      <c r="C97" s="768">
        <f t="shared" si="1"/>
        <v>-138590</v>
      </c>
      <c r="D97" s="768"/>
      <c r="E97" s="768">
        <v>-138590</v>
      </c>
      <c r="F97" s="768"/>
      <c r="G97" s="768"/>
      <c r="H97" s="790" t="s">
        <v>834</v>
      </c>
      <c r="I97" s="252"/>
    </row>
    <row r="98" spans="1:9" ht="12.75" customHeight="1">
      <c r="A98" s="958" t="s">
        <v>640</v>
      </c>
      <c r="B98" s="958"/>
      <c r="C98" s="768">
        <f>SUM(D98:G98)</f>
        <v>3718191</v>
      </c>
      <c r="D98" s="768">
        <v>3718191</v>
      </c>
      <c r="E98" s="768"/>
      <c r="F98" s="768"/>
      <c r="G98" s="768"/>
      <c r="H98" s="789" t="s">
        <v>835</v>
      </c>
      <c r="I98" s="252"/>
    </row>
    <row r="99" spans="1:9" ht="12.75" customHeight="1">
      <c r="A99" s="958" t="s">
        <v>748</v>
      </c>
      <c r="B99" s="1060"/>
      <c r="C99" s="768">
        <f>SUM(D99:G99)</f>
        <v>-66684</v>
      </c>
      <c r="D99" s="768">
        <v>-66684</v>
      </c>
      <c r="E99" s="768"/>
      <c r="F99" s="768"/>
      <c r="G99" s="768"/>
      <c r="H99" s="1070" t="s">
        <v>836</v>
      </c>
      <c r="I99" s="252"/>
    </row>
    <row r="100" spans="1:9" ht="12.75">
      <c r="A100" s="1084"/>
      <c r="B100" s="1085"/>
      <c r="C100" s="768"/>
      <c r="D100" s="768"/>
      <c r="E100" s="768"/>
      <c r="F100" s="768"/>
      <c r="G100" s="768"/>
      <c r="H100" s="360"/>
      <c r="I100" s="252"/>
    </row>
    <row r="101" spans="1:9" ht="12.75" customHeight="1">
      <c r="A101" s="1084"/>
      <c r="B101" s="1085"/>
      <c r="C101" s="768"/>
      <c r="D101" s="768"/>
      <c r="E101" s="768"/>
      <c r="F101" s="768"/>
      <c r="G101" s="768"/>
      <c r="H101" s="360"/>
      <c r="I101" s="252"/>
    </row>
    <row r="102" spans="1:9" ht="12.75" customHeight="1">
      <c r="A102" s="1084"/>
      <c r="B102" s="1085"/>
      <c r="C102" s="768"/>
      <c r="D102" s="768"/>
      <c r="E102" s="768"/>
      <c r="F102" s="768"/>
      <c r="G102" s="768"/>
      <c r="H102" s="360"/>
      <c r="I102" s="252"/>
    </row>
    <row r="103" spans="1:9" ht="12.75" customHeight="1">
      <c r="A103" s="1084"/>
      <c r="B103" s="1085"/>
      <c r="C103" s="768"/>
      <c r="D103" s="768"/>
      <c r="E103" s="768"/>
      <c r="F103" s="768"/>
      <c r="G103" s="768"/>
      <c r="H103" s="360"/>
      <c r="I103" s="252"/>
    </row>
    <row r="104" spans="1:9" ht="12.75" customHeight="1">
      <c r="A104" s="767"/>
      <c r="B104" s="766"/>
      <c r="C104" s="768"/>
      <c r="D104" s="768"/>
      <c r="E104" s="768"/>
      <c r="F104" s="768"/>
      <c r="G104" s="768"/>
      <c r="H104" s="360"/>
      <c r="I104" s="252"/>
    </row>
    <row r="105" spans="1:9" ht="12.75" customHeight="1">
      <c r="A105" s="767"/>
      <c r="B105" s="766"/>
      <c r="C105" s="768"/>
      <c r="D105" s="768"/>
      <c r="E105" s="768"/>
      <c r="F105" s="768"/>
      <c r="G105" s="768"/>
      <c r="H105" s="360"/>
      <c r="I105" s="252"/>
    </row>
    <row r="106" spans="1:9" ht="12.75" customHeight="1">
      <c r="A106" s="767"/>
      <c r="B106" s="766"/>
      <c r="C106" s="768"/>
      <c r="D106" s="768"/>
      <c r="E106" s="768"/>
      <c r="F106" s="768"/>
      <c r="G106" s="768"/>
      <c r="H106" s="360"/>
      <c r="I106" s="252"/>
    </row>
    <row r="107" spans="1:9" ht="12.75" customHeight="1">
      <c r="A107" s="1084"/>
      <c r="B107" s="1085"/>
      <c r="C107" s="768"/>
      <c r="D107" s="768"/>
      <c r="E107" s="768"/>
      <c r="F107" s="768"/>
      <c r="G107" s="768"/>
      <c r="H107" s="360"/>
      <c r="I107" s="252"/>
    </row>
    <row r="108" spans="1:9" ht="12.75" customHeight="1">
      <c r="A108" s="1084"/>
      <c r="B108" s="1085"/>
      <c r="C108" s="768"/>
      <c r="D108" s="768"/>
      <c r="E108" s="768"/>
      <c r="F108" s="768"/>
      <c r="G108" s="768"/>
      <c r="H108" s="360"/>
      <c r="I108" s="252"/>
    </row>
    <row r="109" spans="1:9" ht="12.75" customHeight="1">
      <c r="A109" s="1084"/>
      <c r="B109" s="1085"/>
      <c r="C109" s="768"/>
      <c r="D109" s="768"/>
      <c r="E109" s="768"/>
      <c r="F109" s="768"/>
      <c r="G109" s="768"/>
      <c r="H109" s="360"/>
      <c r="I109" s="252"/>
    </row>
    <row r="110" spans="1:9" ht="12.75" customHeight="1">
      <c r="A110" s="528"/>
      <c r="B110" s="529"/>
      <c r="C110" s="768"/>
      <c r="D110" s="768"/>
      <c r="E110" s="768"/>
      <c r="F110" s="768"/>
      <c r="G110" s="768"/>
      <c r="H110" s="360"/>
      <c r="I110" s="252"/>
    </row>
    <row r="111" spans="1:9" ht="12.75" customHeight="1">
      <c r="A111" s="1094"/>
      <c r="B111" s="1095"/>
      <c r="C111" s="768"/>
      <c r="D111" s="768"/>
      <c r="E111" s="768"/>
      <c r="F111" s="768"/>
      <c r="G111" s="768"/>
      <c r="H111" s="360"/>
      <c r="I111" s="252"/>
    </row>
    <row r="112" spans="1:9" ht="12.75">
      <c r="A112" s="523" t="s">
        <v>542</v>
      </c>
      <c r="B112" s="414"/>
      <c r="C112" s="769">
        <f>SUBTOTAL(9,C88:C111)</f>
        <v>-1803486464</v>
      </c>
      <c r="D112" s="769">
        <f>SUM(D88:D111)</f>
        <v>-1192002038</v>
      </c>
      <c r="E112" s="769">
        <f>SUM(E88:E111)</f>
        <v>-554491070</v>
      </c>
      <c r="F112" s="769">
        <f>SUM(F88:F111)</f>
        <v>0</v>
      </c>
      <c r="G112" s="769">
        <f>SUM(G88:G111)</f>
        <v>-56993356</v>
      </c>
      <c r="H112" s="530"/>
      <c r="I112" s="252"/>
    </row>
    <row r="113" spans="1:9" ht="12.75">
      <c r="A113" s="412" t="s">
        <v>308</v>
      </c>
      <c r="B113" s="414"/>
      <c r="C113" s="768">
        <f>SUM(D113:G113)</f>
        <v>-190670812</v>
      </c>
      <c r="D113" s="768">
        <f>D92</f>
        <v>-190670812</v>
      </c>
      <c r="E113" s="768"/>
      <c r="F113" s="768"/>
      <c r="G113" s="768"/>
      <c r="H113" s="365"/>
      <c r="I113" s="252"/>
    </row>
    <row r="114" spans="1:9" ht="12.75">
      <c r="A114" s="415" t="s">
        <v>309</v>
      </c>
      <c r="B114" s="413"/>
      <c r="C114" s="768">
        <f>SUM(D114:G114)</f>
        <v>0</v>
      </c>
      <c r="D114" s="768"/>
      <c r="E114" s="768"/>
      <c r="F114" s="768"/>
      <c r="G114" s="768"/>
      <c r="H114" s="365"/>
      <c r="I114" s="252"/>
    </row>
    <row r="115" spans="1:9" ht="12.75">
      <c r="A115" s="416" t="s">
        <v>476</v>
      </c>
      <c r="B115" s="414"/>
      <c r="C115" s="769">
        <f>+C112-C113-C114</f>
        <v>-1612815652</v>
      </c>
      <c r="D115" s="769">
        <f>+D112-D113-D114</f>
        <v>-1001331226</v>
      </c>
      <c r="E115" s="769">
        <f>+E112-E113-E114</f>
        <v>-554491070</v>
      </c>
      <c r="F115" s="769">
        <f>+F112-F113-F114</f>
        <v>0</v>
      </c>
      <c r="G115" s="769">
        <f>+G112-G113-G114</f>
        <v>-56993356</v>
      </c>
      <c r="H115" s="405"/>
      <c r="I115" s="252"/>
    </row>
    <row r="116" spans="1:9" ht="12.75">
      <c r="A116" s="371"/>
      <c r="B116" s="373"/>
      <c r="C116" s="770"/>
      <c r="D116" s="771"/>
      <c r="E116" s="771"/>
      <c r="F116" s="772"/>
      <c r="G116" s="772"/>
      <c r="H116" s="374"/>
      <c r="I116" s="252"/>
    </row>
    <row r="117" spans="1:9" ht="12.75" customHeight="1">
      <c r="A117" s="371"/>
      <c r="B117" s="381" t="s">
        <v>10</v>
      </c>
      <c r="C117" s="382"/>
      <c r="D117" s="383"/>
      <c r="E117" s="383"/>
      <c r="F117" s="384"/>
      <c r="G117" s="409"/>
      <c r="H117" s="374"/>
      <c r="I117" s="252"/>
    </row>
    <row r="118" spans="1:9" ht="26.25" customHeight="1">
      <c r="A118" s="371"/>
      <c r="B118" s="1091" t="s">
        <v>180</v>
      </c>
      <c r="C118" s="1092"/>
      <c r="D118" s="1092"/>
      <c r="E118" s="1092"/>
      <c r="F118" s="1092"/>
      <c r="G118" s="1093"/>
      <c r="H118" s="374"/>
      <c r="I118" s="252"/>
    </row>
    <row r="119" spans="1:9" ht="12.75">
      <c r="A119" s="371"/>
      <c r="B119" s="385" t="s">
        <v>181</v>
      </c>
      <c r="C119" s="252"/>
      <c r="D119" s="310"/>
      <c r="E119" s="310"/>
      <c r="F119" s="309"/>
      <c r="G119" s="410"/>
      <c r="H119" s="374"/>
      <c r="I119" s="252"/>
    </row>
    <row r="120" spans="1:9" ht="12.75">
      <c r="A120" s="371"/>
      <c r="B120" s="385" t="s">
        <v>446</v>
      </c>
      <c r="C120" s="252"/>
      <c r="D120" s="310"/>
      <c r="E120" s="310"/>
      <c r="F120" s="309"/>
      <c r="G120" s="410"/>
      <c r="H120" s="374"/>
      <c r="I120" s="252"/>
    </row>
    <row r="121" spans="1:9" ht="12.75" customHeight="1">
      <c r="A121" s="371"/>
      <c r="B121" s="385" t="s">
        <v>449</v>
      </c>
      <c r="C121" s="252"/>
      <c r="D121" s="310"/>
      <c r="E121" s="310"/>
      <c r="F121" s="309"/>
      <c r="G121" s="410"/>
      <c r="H121" s="374"/>
      <c r="I121" s="252"/>
    </row>
    <row r="122" spans="1:9" ht="36.75" customHeight="1">
      <c r="A122" s="371"/>
      <c r="B122" s="1088" t="s">
        <v>605</v>
      </c>
      <c r="C122" s="1089"/>
      <c r="D122" s="1089"/>
      <c r="E122" s="1089"/>
      <c r="F122" s="1089"/>
      <c r="G122" s="1090"/>
      <c r="H122" s="252"/>
      <c r="I122" s="379"/>
    </row>
    <row r="123" spans="1:9" ht="12.75">
      <c r="A123" s="371"/>
      <c r="B123" s="380"/>
      <c r="C123" s="252"/>
      <c r="D123" s="310"/>
      <c r="E123" s="310"/>
      <c r="F123" s="309"/>
      <c r="G123" s="309"/>
      <c r="H123" s="374"/>
      <c r="I123" s="252"/>
    </row>
    <row r="124" spans="1:9" ht="18">
      <c r="A124" s="451"/>
      <c r="B124" s="452"/>
      <c r="C124" s="452"/>
      <c r="D124" s="452"/>
      <c r="E124" s="452"/>
      <c r="F124" s="452"/>
      <c r="G124" s="452"/>
      <c r="H124" s="370"/>
      <c r="I124" s="252"/>
    </row>
    <row r="125" spans="1:9" ht="18">
      <c r="A125" s="421" t="str">
        <f>A1</f>
        <v>PPL Electric Utilities Corporation</v>
      </c>
      <c r="B125" s="422"/>
      <c r="C125" s="423"/>
      <c r="D125" s="423"/>
      <c r="E125" s="423"/>
      <c r="F125" s="423"/>
      <c r="G125" s="423"/>
      <c r="H125" s="424"/>
      <c r="I125" s="252"/>
    </row>
    <row r="126" spans="1:9" ht="15">
      <c r="A126" s="1097"/>
      <c r="B126" s="1097"/>
      <c r="C126" s="1097"/>
      <c r="D126" s="1097"/>
      <c r="E126" s="1097"/>
      <c r="F126" s="1097"/>
      <c r="G126" s="1097"/>
      <c r="H126" s="1097"/>
      <c r="I126" s="252"/>
    </row>
    <row r="127" spans="1:9" ht="12.75">
      <c r="A127" s="371"/>
      <c r="B127" s="252"/>
      <c r="C127" s="252"/>
      <c r="D127" s="252"/>
      <c r="E127" s="252"/>
      <c r="F127" s="252"/>
      <c r="G127" s="372"/>
      <c r="H127" s="374"/>
      <c r="I127" s="252"/>
    </row>
    <row r="128" spans="1:9" ht="12.75">
      <c r="A128" s="371"/>
      <c r="B128" s="402" t="s">
        <v>365</v>
      </c>
      <c r="C128" s="402" t="s">
        <v>477</v>
      </c>
      <c r="D128" s="402" t="s">
        <v>348</v>
      </c>
      <c r="E128" s="402" t="s">
        <v>366</v>
      </c>
      <c r="F128" s="402" t="s">
        <v>364</v>
      </c>
      <c r="G128" s="402" t="s">
        <v>92</v>
      </c>
      <c r="H128" s="402" t="s">
        <v>367</v>
      </c>
      <c r="I128" s="252"/>
    </row>
    <row r="129" spans="1:9" ht="12.75">
      <c r="A129" s="371"/>
      <c r="B129" s="252"/>
      <c r="D129" s="229" t="s">
        <v>440</v>
      </c>
      <c r="F129" s="229"/>
      <c r="G129" s="229"/>
      <c r="I129" s="252"/>
    </row>
    <row r="130" spans="1:9" ht="12.75">
      <c r="A130" s="371"/>
      <c r="B130" s="372" t="s">
        <v>739</v>
      </c>
      <c r="C130" s="229" t="s">
        <v>476</v>
      </c>
      <c r="D130" s="229" t="s">
        <v>441</v>
      </c>
      <c r="E130" s="229" t="s">
        <v>736</v>
      </c>
      <c r="F130" s="229" t="s">
        <v>741</v>
      </c>
      <c r="G130" s="229" t="s">
        <v>743</v>
      </c>
      <c r="I130" s="252"/>
    </row>
    <row r="131" spans="1:9" ht="13.5" customHeight="1">
      <c r="A131" s="371"/>
      <c r="B131" s="252"/>
      <c r="C131" s="229"/>
      <c r="D131" s="229" t="s">
        <v>742</v>
      </c>
      <c r="E131" s="229" t="s">
        <v>742</v>
      </c>
      <c r="F131" s="229" t="s">
        <v>742</v>
      </c>
      <c r="G131" s="229" t="s">
        <v>742</v>
      </c>
      <c r="H131" s="229" t="s">
        <v>341</v>
      </c>
      <c r="I131" s="252"/>
    </row>
    <row r="132" spans="1:9" ht="12.75" customHeight="1">
      <c r="A132" s="1086" t="s">
        <v>433</v>
      </c>
      <c r="B132" s="1087"/>
      <c r="C132" s="768"/>
      <c r="D132" s="768"/>
      <c r="E132" s="768"/>
      <c r="F132" s="773"/>
      <c r="G132" s="768"/>
      <c r="H132" s="360"/>
      <c r="I132" s="252"/>
    </row>
    <row r="133" spans="1:9" ht="12.75" customHeight="1">
      <c r="A133" s="959" t="s">
        <v>434</v>
      </c>
      <c r="B133" s="1056"/>
      <c r="C133" s="768">
        <f aca="true" t="shared" si="2" ref="C133:C147">SUM(D133:G133)</f>
        <v>-17534209</v>
      </c>
      <c r="D133" s="768"/>
      <c r="E133" s="768"/>
      <c r="F133" s="768">
        <v>-17534209</v>
      </c>
      <c r="G133" s="768"/>
      <c r="H133" s="360" t="s">
        <v>840</v>
      </c>
      <c r="I133" s="252"/>
    </row>
    <row r="134" spans="1:9" ht="25.5">
      <c r="A134" s="959" t="s">
        <v>435</v>
      </c>
      <c r="B134" s="781"/>
      <c r="C134" s="768">
        <f t="shared" si="2"/>
        <v>-135225999</v>
      </c>
      <c r="D134" s="768">
        <v>-135225999</v>
      </c>
      <c r="E134" s="768"/>
      <c r="F134" s="773"/>
      <c r="G134" s="768"/>
      <c r="H134" s="789" t="s">
        <v>841</v>
      </c>
      <c r="I134" s="252"/>
    </row>
    <row r="135" spans="1:9" ht="12.75" customHeight="1">
      <c r="A135" s="959" t="s">
        <v>436</v>
      </c>
      <c r="B135" s="1057"/>
      <c r="C135" s="768">
        <f t="shared" si="2"/>
        <v>-104455028</v>
      </c>
      <c r="D135" s="768">
        <v>-104455028</v>
      </c>
      <c r="E135" s="768"/>
      <c r="F135" s="773"/>
      <c r="G135" s="768"/>
      <c r="H135" s="790" t="s">
        <v>842</v>
      </c>
      <c r="I135" s="252"/>
    </row>
    <row r="136" spans="1:9" ht="12.75" customHeight="1">
      <c r="A136" s="958" t="s">
        <v>111</v>
      </c>
      <c r="B136" s="1054"/>
      <c r="C136" s="768">
        <f t="shared" si="2"/>
        <v>-194771621</v>
      </c>
      <c r="D136" s="768">
        <v>-194771621</v>
      </c>
      <c r="E136" s="768"/>
      <c r="F136" s="773"/>
      <c r="G136" s="768"/>
      <c r="H136" s="790" t="s">
        <v>843</v>
      </c>
      <c r="I136" s="252"/>
    </row>
    <row r="137" spans="1:9" ht="12.75" customHeight="1">
      <c r="A137" s="959" t="s">
        <v>641</v>
      </c>
      <c r="B137" s="1054"/>
      <c r="C137" s="768">
        <f>SUM(D137:G137)</f>
        <v>-12632865</v>
      </c>
      <c r="D137" s="768">
        <v>-12632865</v>
      </c>
      <c r="E137" s="768"/>
      <c r="F137" s="773"/>
      <c r="G137" s="768"/>
      <c r="H137" s="360" t="s">
        <v>844</v>
      </c>
      <c r="I137" s="252"/>
    </row>
    <row r="138" spans="1:9" ht="12.75">
      <c r="A138" s="959" t="s">
        <v>426</v>
      </c>
      <c r="B138" s="994"/>
      <c r="C138" s="768">
        <f t="shared" si="2"/>
        <v>7</v>
      </c>
      <c r="D138" s="768">
        <v>7</v>
      </c>
      <c r="E138" s="768"/>
      <c r="F138" s="773"/>
      <c r="G138" s="768"/>
      <c r="H138" s="789" t="s">
        <v>819</v>
      </c>
      <c r="I138" s="252"/>
    </row>
    <row r="139" spans="1:9" ht="12.75" customHeight="1">
      <c r="A139" s="958" t="s">
        <v>642</v>
      </c>
      <c r="B139" s="994"/>
      <c r="C139" s="768">
        <f t="shared" si="2"/>
        <v>-90114</v>
      </c>
      <c r="D139" s="768"/>
      <c r="E139" s="768"/>
      <c r="F139" s="773"/>
      <c r="G139" s="768">
        <v>-90114</v>
      </c>
      <c r="H139" s="360" t="s">
        <v>845</v>
      </c>
      <c r="I139" s="252"/>
    </row>
    <row r="140" spans="1:9" ht="12.75" customHeight="1">
      <c r="A140" s="958" t="s">
        <v>439</v>
      </c>
      <c r="B140" s="994"/>
      <c r="C140" s="768">
        <f t="shared" si="2"/>
        <v>-7747569</v>
      </c>
      <c r="D140" s="768">
        <v>-7747569</v>
      </c>
      <c r="E140" s="768"/>
      <c r="F140" s="773"/>
      <c r="G140" s="768"/>
      <c r="H140" s="360" t="s">
        <v>846</v>
      </c>
      <c r="I140" s="252"/>
    </row>
    <row r="141" spans="1:9" ht="12.75" customHeight="1">
      <c r="A141" s="958" t="s">
        <v>109</v>
      </c>
      <c r="B141" s="994"/>
      <c r="C141" s="768">
        <f t="shared" si="2"/>
        <v>-1692244</v>
      </c>
      <c r="D141" s="768">
        <v>-1692244</v>
      </c>
      <c r="E141" s="768"/>
      <c r="F141" s="773"/>
      <c r="G141" s="768"/>
      <c r="H141" s="360" t="s">
        <v>108</v>
      </c>
      <c r="I141" s="252"/>
    </row>
    <row r="142" spans="1:9" ht="12.75" customHeight="1">
      <c r="A142" s="958" t="s">
        <v>754</v>
      </c>
      <c r="B142" s="994"/>
      <c r="C142" s="768">
        <f t="shared" si="2"/>
        <v>-232711</v>
      </c>
      <c r="D142" s="768">
        <v>-232711</v>
      </c>
      <c r="E142" s="768"/>
      <c r="F142" s="773"/>
      <c r="G142" s="768"/>
      <c r="H142" s="360" t="s">
        <v>108</v>
      </c>
      <c r="I142" s="252"/>
    </row>
    <row r="143" spans="1:9" ht="12.75" customHeight="1">
      <c r="A143" s="958" t="s">
        <v>803</v>
      </c>
      <c r="B143" s="994"/>
      <c r="C143" s="768">
        <f t="shared" si="2"/>
        <v>-4169354</v>
      </c>
      <c r="D143" s="768">
        <v>-4169354</v>
      </c>
      <c r="E143" s="768"/>
      <c r="F143" s="773"/>
      <c r="G143" s="768"/>
      <c r="H143" s="789" t="s">
        <v>847</v>
      </c>
      <c r="I143" s="252"/>
    </row>
    <row r="144" spans="1:9" ht="12.75" customHeight="1">
      <c r="A144" s="958" t="s">
        <v>848</v>
      </c>
      <c r="B144" s="994"/>
      <c r="C144" s="768">
        <f t="shared" si="2"/>
        <v>-77478</v>
      </c>
      <c r="D144" s="768">
        <v>-77478</v>
      </c>
      <c r="E144" s="768"/>
      <c r="F144" s="773"/>
      <c r="G144" s="768"/>
      <c r="H144" s="360" t="s">
        <v>108</v>
      </c>
      <c r="I144" s="252"/>
    </row>
    <row r="145" spans="1:9" ht="12.75" customHeight="1">
      <c r="A145" s="958" t="s">
        <v>849</v>
      </c>
      <c r="B145" s="994"/>
      <c r="C145" s="768">
        <f t="shared" si="2"/>
        <v>-770120</v>
      </c>
      <c r="D145" s="768">
        <v>-770120</v>
      </c>
      <c r="E145" s="768"/>
      <c r="F145" s="773"/>
      <c r="G145" s="768"/>
      <c r="H145" s="360" t="s">
        <v>850</v>
      </c>
      <c r="I145" s="252"/>
    </row>
    <row r="146" spans="1:9" ht="12.75" customHeight="1">
      <c r="A146" s="958" t="s">
        <v>437</v>
      </c>
      <c r="B146" s="994"/>
      <c r="C146" s="768">
        <f t="shared" si="2"/>
        <v>-73463</v>
      </c>
      <c r="D146" s="768">
        <v>-73463</v>
      </c>
      <c r="E146" s="768"/>
      <c r="F146" s="773"/>
      <c r="G146" s="768"/>
      <c r="H146" s="360" t="s">
        <v>851</v>
      </c>
      <c r="I146" s="252"/>
    </row>
    <row r="147" spans="1:9" ht="12.75" customHeight="1">
      <c r="A147" s="958" t="s">
        <v>756</v>
      </c>
      <c r="B147" s="994"/>
      <c r="C147" s="768">
        <f t="shared" si="2"/>
        <v>-857722</v>
      </c>
      <c r="D147" s="768">
        <v>-857722</v>
      </c>
      <c r="E147" s="359"/>
      <c r="F147" s="359"/>
      <c r="G147" s="360"/>
      <c r="H147" s="360" t="s">
        <v>108</v>
      </c>
      <c r="I147" s="368"/>
    </row>
    <row r="148" spans="1:9" ht="12.75" customHeight="1">
      <c r="A148" s="1105"/>
      <c r="B148" s="1106"/>
      <c r="C148" s="768"/>
      <c r="D148" s="768"/>
      <c r="E148" s="768"/>
      <c r="F148" s="773"/>
      <c r="G148" s="768"/>
      <c r="H148" s="360"/>
      <c r="I148" s="368"/>
    </row>
    <row r="149" spans="1:9" ht="12.75" customHeight="1">
      <c r="A149" s="958"/>
      <c r="B149" s="994"/>
      <c r="C149" s="773"/>
      <c r="D149" s="773"/>
      <c r="E149" s="773"/>
      <c r="F149" s="773"/>
      <c r="G149" s="773"/>
      <c r="H149" s="1051"/>
      <c r="I149" s="252"/>
    </row>
    <row r="150" spans="1:9" ht="12.75" customHeight="1">
      <c r="A150" s="958"/>
      <c r="B150" s="994"/>
      <c r="C150" s="768"/>
      <c r="D150" s="768"/>
      <c r="E150" s="768"/>
      <c r="F150" s="773"/>
      <c r="G150" s="768"/>
      <c r="H150" s="360"/>
      <c r="I150" s="252"/>
    </row>
    <row r="151" spans="1:9" ht="12.75" customHeight="1">
      <c r="A151" s="958"/>
      <c r="B151" s="994"/>
      <c r="C151" s="768"/>
      <c r="D151" s="768"/>
      <c r="E151" s="768"/>
      <c r="F151" s="773"/>
      <c r="G151" s="768"/>
      <c r="H151" s="360"/>
      <c r="I151" s="252"/>
    </row>
    <row r="152" spans="1:9" ht="12.75" customHeight="1">
      <c r="A152" s="1103"/>
      <c r="B152" s="1104"/>
      <c r="C152" s="768"/>
      <c r="D152" s="768"/>
      <c r="E152" s="768"/>
      <c r="F152" s="773"/>
      <c r="G152" s="768"/>
      <c r="H152" s="360"/>
      <c r="I152" s="252"/>
    </row>
    <row r="153" spans="1:9" ht="12.75" customHeight="1">
      <c r="A153" s="1101"/>
      <c r="B153" s="1102"/>
      <c r="C153" s="768"/>
      <c r="D153" s="768"/>
      <c r="E153" s="768"/>
      <c r="F153" s="768"/>
      <c r="G153" s="768"/>
      <c r="H153" s="360"/>
      <c r="I153" s="252"/>
    </row>
    <row r="154" spans="1:9" ht="12.75" customHeight="1">
      <c r="A154" s="1101"/>
      <c r="B154" s="1102"/>
      <c r="C154" s="768"/>
      <c r="D154" s="768"/>
      <c r="E154" s="768"/>
      <c r="F154" s="768"/>
      <c r="G154" s="768"/>
      <c r="H154" s="360"/>
      <c r="I154" s="252"/>
    </row>
    <row r="155" spans="1:9" ht="12.75" customHeight="1">
      <c r="A155" s="417"/>
      <c r="B155" s="418"/>
      <c r="C155" s="768"/>
      <c r="D155" s="768"/>
      <c r="E155" s="768"/>
      <c r="F155" s="768"/>
      <c r="G155" s="768"/>
      <c r="H155" s="360"/>
      <c r="I155" s="252"/>
    </row>
    <row r="156" spans="1:9" ht="12.75">
      <c r="A156" s="524" t="s">
        <v>541</v>
      </c>
      <c r="B156" s="411"/>
      <c r="C156" s="774">
        <f>SUBTOTAL(9,C132:C155)</f>
        <v>-480330490</v>
      </c>
      <c r="D156" s="774">
        <f>SUM(D132:D155)</f>
        <v>-462706167</v>
      </c>
      <c r="E156" s="774">
        <f>SUM(E132:E155)</f>
        <v>0</v>
      </c>
      <c r="F156" s="774">
        <f>SUM(F132:F155)</f>
        <v>-17534209</v>
      </c>
      <c r="G156" s="774">
        <f>SUM(G132:G155)</f>
        <v>-90114</v>
      </c>
      <c r="H156" s="360"/>
      <c r="I156" s="252"/>
    </row>
    <row r="157" spans="1:9" ht="12.75">
      <c r="A157" s="416" t="s">
        <v>308</v>
      </c>
      <c r="B157" s="411"/>
      <c r="C157" s="775">
        <f>SUM(D157:G157)</f>
        <v>-135225999</v>
      </c>
      <c r="D157" s="775">
        <f>D134</f>
        <v>-135225999</v>
      </c>
      <c r="E157" s="775"/>
      <c r="F157" s="775"/>
      <c r="G157" s="775"/>
      <c r="H157" s="360"/>
      <c r="I157" s="252"/>
    </row>
    <row r="158" spans="1:9" ht="12.75">
      <c r="A158" s="416" t="s">
        <v>309</v>
      </c>
      <c r="B158" s="411"/>
      <c r="C158" s="775">
        <f>SUM(D158:G158)</f>
        <v>0</v>
      </c>
      <c r="D158" s="775">
        <v>0</v>
      </c>
      <c r="E158" s="775"/>
      <c r="F158" s="775"/>
      <c r="G158" s="775"/>
      <c r="H158" s="360"/>
      <c r="I158" s="252"/>
    </row>
    <row r="159" spans="1:9" ht="12.75">
      <c r="A159" s="419" t="s">
        <v>476</v>
      </c>
      <c r="B159" s="420"/>
      <c r="C159" s="776">
        <f>+C156-C157-C158</f>
        <v>-345104491</v>
      </c>
      <c r="D159" s="776">
        <f>+D156-D157-D158</f>
        <v>-327480168</v>
      </c>
      <c r="E159" s="776">
        <f>+E156-E157-E158</f>
        <v>0</v>
      </c>
      <c r="F159" s="776">
        <f>+F156-F157-F158</f>
        <v>-17534209</v>
      </c>
      <c r="G159" s="776">
        <f>+G156-G157-G158</f>
        <v>-90114</v>
      </c>
      <c r="H159" s="405"/>
      <c r="I159" s="252"/>
    </row>
    <row r="160" spans="1:9" ht="12.75">
      <c r="A160" s="371"/>
      <c r="B160" s="373"/>
      <c r="C160" s="619"/>
      <c r="D160" s="386"/>
      <c r="E160" s="386"/>
      <c r="F160" s="386"/>
      <c r="G160" s="386"/>
      <c r="H160" s="374"/>
      <c r="I160" s="252"/>
    </row>
    <row r="161" spans="1:9" ht="12.75" customHeight="1">
      <c r="A161" s="371"/>
      <c r="B161" s="381" t="s">
        <v>745</v>
      </c>
      <c r="C161" s="382"/>
      <c r="D161" s="383"/>
      <c r="E161" s="383"/>
      <c r="F161" s="384"/>
      <c r="G161" s="409"/>
      <c r="H161" s="457"/>
      <c r="I161" s="252"/>
    </row>
    <row r="162" spans="1:9" ht="33.75" customHeight="1">
      <c r="A162" s="371"/>
      <c r="B162" s="1098" t="s">
        <v>180</v>
      </c>
      <c r="C162" s="1099"/>
      <c r="D162" s="1099"/>
      <c r="E162" s="1099"/>
      <c r="F162" s="1099"/>
      <c r="G162" s="1100"/>
      <c r="H162" s="374"/>
      <c r="I162" s="252"/>
    </row>
    <row r="163" spans="1:9" ht="12.75">
      <c r="A163" s="371"/>
      <c r="B163" s="385" t="s">
        <v>181</v>
      </c>
      <c r="C163" s="252"/>
      <c r="D163" s="310"/>
      <c r="E163" s="310"/>
      <c r="F163" s="309"/>
      <c r="G163" s="410"/>
      <c r="H163" s="457"/>
      <c r="I163" s="252"/>
    </row>
    <row r="164" spans="1:9" ht="12.75">
      <c r="A164" s="371"/>
      <c r="B164" s="385" t="s">
        <v>446</v>
      </c>
      <c r="C164" s="252"/>
      <c r="D164" s="310"/>
      <c r="E164" s="310"/>
      <c r="F164" s="309"/>
      <c r="G164" s="410"/>
      <c r="H164" s="374"/>
      <c r="I164" s="252"/>
    </row>
    <row r="165" spans="1:9" ht="12.75" customHeight="1">
      <c r="A165" s="371"/>
      <c r="B165" s="385" t="s">
        <v>449</v>
      </c>
      <c r="C165" s="252"/>
      <c r="D165" s="252"/>
      <c r="E165" s="252"/>
      <c r="F165" s="252"/>
      <c r="G165" s="378"/>
      <c r="H165" s="379"/>
      <c r="I165" s="252"/>
    </row>
    <row r="166" spans="1:9" ht="40.5" customHeight="1">
      <c r="A166" s="371"/>
      <c r="B166" s="1088" t="str">
        <f>+B122</f>
        <v>5. Deferred income taxes arise when items are included in taxable income in different periods than they are included in rates, therefore if the item giving rise to the ADIT is not included in the formula, the associated ADIT amount shall be excluded.</v>
      </c>
      <c r="C166" s="1089"/>
      <c r="D166" s="1089"/>
      <c r="E166" s="1089"/>
      <c r="F166" s="1089"/>
      <c r="G166" s="1090"/>
      <c r="H166" s="374"/>
      <c r="I166" s="252"/>
    </row>
    <row r="167" spans="1:9" ht="12.75">
      <c r="A167" s="371"/>
      <c r="B167" s="252"/>
      <c r="C167" s="252"/>
      <c r="D167" s="252"/>
      <c r="E167" s="252"/>
      <c r="F167" s="252"/>
      <c r="G167" s="252"/>
      <c r="H167" s="252"/>
      <c r="I167" s="252"/>
    </row>
    <row r="168" spans="1:9" ht="18">
      <c r="A168" s="624"/>
      <c r="B168" s="424"/>
      <c r="C168" s="424"/>
      <c r="D168" s="424"/>
      <c r="E168" s="424"/>
      <c r="F168" s="424"/>
      <c r="G168" s="424"/>
      <c r="H168" s="424"/>
      <c r="I168" s="252"/>
    </row>
    <row r="169" spans="1:9" ht="12.75">
      <c r="A169" s="1096"/>
      <c r="B169" s="1096"/>
      <c r="C169" s="1096"/>
      <c r="D169" s="1096"/>
      <c r="E169" s="1096"/>
      <c r="F169" s="1096"/>
      <c r="G169" s="1096"/>
      <c r="H169" s="1096"/>
      <c r="I169" s="370"/>
    </row>
    <row r="170" spans="1:9" ht="12.75">
      <c r="A170" s="310"/>
      <c r="B170" s="310"/>
      <c r="C170" s="310"/>
      <c r="D170" s="310"/>
      <c r="E170" s="310"/>
      <c r="F170" s="310"/>
      <c r="G170" s="310"/>
      <c r="H170" s="310"/>
      <c r="I170" s="252"/>
    </row>
    <row r="171" spans="1:9" ht="12.75">
      <c r="A171" s="310"/>
      <c r="B171" s="310"/>
      <c r="C171" s="310"/>
      <c r="D171" s="310"/>
      <c r="E171" s="310"/>
      <c r="F171" s="310"/>
      <c r="G171" s="310"/>
      <c r="H171" s="310"/>
      <c r="I171" s="252"/>
    </row>
    <row r="172" spans="1:9" ht="12.75">
      <c r="A172" s="310"/>
      <c r="B172" s="310"/>
      <c r="C172" s="310"/>
      <c r="D172" s="310"/>
      <c r="E172" s="310"/>
      <c r="F172" s="310"/>
      <c r="G172" s="310"/>
      <c r="H172" s="310"/>
      <c r="I172" s="252"/>
    </row>
    <row r="173" spans="1:9" ht="15">
      <c r="A173" s="625"/>
      <c r="B173" s="310"/>
      <c r="C173" s="310"/>
      <c r="D173" s="377"/>
      <c r="E173" s="377"/>
      <c r="F173" s="377"/>
      <c r="G173" s="377"/>
      <c r="H173" s="377"/>
      <c r="I173" s="376"/>
    </row>
    <row r="174" spans="1:9" ht="15">
      <c r="A174" s="625"/>
      <c r="B174" s="310"/>
      <c r="C174" s="310"/>
      <c r="D174" s="377"/>
      <c r="E174" s="377"/>
      <c r="F174" s="377"/>
      <c r="G174" s="377"/>
      <c r="H174" s="377"/>
      <c r="I174" s="376"/>
    </row>
    <row r="175" spans="1:9" ht="12.75">
      <c r="A175" s="626"/>
      <c r="B175" s="310"/>
      <c r="C175" s="310"/>
      <c r="D175" s="309"/>
      <c r="E175" s="309"/>
      <c r="F175" s="310"/>
      <c r="G175" s="310"/>
      <c r="H175" s="310"/>
      <c r="I175" s="252"/>
    </row>
    <row r="176" spans="1:9" ht="12.75">
      <c r="A176" s="626"/>
      <c r="B176" s="626"/>
      <c r="C176" s="310"/>
      <c r="D176" s="627"/>
      <c r="E176" s="627"/>
      <c r="F176" s="310"/>
      <c r="G176" s="310"/>
      <c r="H176" s="310"/>
      <c r="I176" s="252"/>
    </row>
    <row r="177" spans="1:9" ht="12.75">
      <c r="A177" s="626"/>
      <c r="B177" s="310"/>
      <c r="C177" s="310"/>
      <c r="D177" s="627"/>
      <c r="E177" s="627"/>
      <c r="F177" s="310"/>
      <c r="G177" s="310"/>
      <c r="H177" s="310"/>
      <c r="I177" s="252"/>
    </row>
    <row r="178" spans="1:9" ht="12.75">
      <c r="A178" s="626"/>
      <c r="B178" s="310"/>
      <c r="C178" s="310"/>
      <c r="D178" s="627"/>
      <c r="E178" s="627"/>
      <c r="F178" s="310"/>
      <c r="G178" s="310"/>
      <c r="H178" s="310"/>
      <c r="I178" s="252"/>
    </row>
    <row r="179" spans="1:9" ht="12.75">
      <c r="A179" s="626"/>
      <c r="B179" s="310"/>
      <c r="C179" s="310"/>
      <c r="D179" s="627"/>
      <c r="E179" s="627"/>
      <c r="F179" s="310"/>
      <c r="G179" s="310"/>
      <c r="H179" s="310"/>
      <c r="I179" s="252"/>
    </row>
    <row r="180" spans="1:9" ht="12.75">
      <c r="A180" s="626"/>
      <c r="B180" s="310"/>
      <c r="C180" s="310"/>
      <c r="D180" s="627"/>
      <c r="E180" s="627"/>
      <c r="F180" s="310"/>
      <c r="G180" s="310"/>
      <c r="H180" s="310"/>
      <c r="I180" s="252"/>
    </row>
    <row r="181" spans="1:9" ht="12.75">
      <c r="A181" s="626"/>
      <c r="B181" s="310"/>
      <c r="C181" s="310"/>
      <c r="D181" s="627"/>
      <c r="E181" s="627"/>
      <c r="F181" s="310"/>
      <c r="G181" s="310"/>
      <c r="H181" s="310"/>
      <c r="I181" s="252"/>
    </row>
    <row r="182" spans="1:9" ht="12.75">
      <c r="A182" s="626"/>
      <c r="B182" s="310"/>
      <c r="C182" s="310"/>
      <c r="D182" s="627"/>
      <c r="E182" s="627"/>
      <c r="F182" s="310"/>
      <c r="G182" s="310"/>
      <c r="H182" s="310"/>
      <c r="I182" s="252"/>
    </row>
    <row r="183" spans="1:9" ht="12.75">
      <c r="A183" s="626"/>
      <c r="B183" s="310"/>
      <c r="C183" s="310"/>
      <c r="D183" s="627"/>
      <c r="E183" s="627"/>
      <c r="F183" s="310"/>
      <c r="G183" s="310"/>
      <c r="H183" s="310"/>
      <c r="I183" s="252"/>
    </row>
    <row r="184" spans="1:9" ht="12.75">
      <c r="A184" s="626"/>
      <c r="B184" s="310"/>
      <c r="C184" s="310"/>
      <c r="D184" s="627"/>
      <c r="E184" s="627"/>
      <c r="F184" s="310"/>
      <c r="G184" s="310"/>
      <c r="H184" s="310"/>
      <c r="I184" s="252"/>
    </row>
    <row r="185" spans="1:9" ht="12.75">
      <c r="A185" s="626"/>
      <c r="B185" s="310"/>
      <c r="C185" s="310"/>
      <c r="D185" s="627"/>
      <c r="E185" s="627"/>
      <c r="F185" s="310"/>
      <c r="G185" s="310"/>
      <c r="H185" s="310"/>
      <c r="I185" s="252"/>
    </row>
    <row r="186" spans="1:9" ht="12.75">
      <c r="A186" s="310"/>
      <c r="B186" s="310"/>
      <c r="C186" s="310"/>
      <c r="D186" s="627"/>
      <c r="E186" s="627"/>
      <c r="F186" s="310"/>
      <c r="G186" s="310"/>
      <c r="H186" s="310"/>
      <c r="I186" s="252"/>
    </row>
    <row r="187" spans="1:9" ht="12.75">
      <c r="A187" s="626"/>
      <c r="B187" s="310"/>
      <c r="C187" s="310"/>
      <c r="D187" s="627"/>
      <c r="E187" s="627"/>
      <c r="F187" s="310"/>
      <c r="G187" s="310"/>
      <c r="H187" s="310"/>
      <c r="I187" s="252"/>
    </row>
    <row r="188" spans="1:9" ht="12.75">
      <c r="A188" s="310"/>
      <c r="B188" s="310"/>
      <c r="C188" s="310"/>
      <c r="D188" s="627"/>
      <c r="E188" s="627"/>
      <c r="F188" s="310"/>
      <c r="G188" s="310"/>
      <c r="H188" s="310"/>
      <c r="I188" s="252"/>
    </row>
    <row r="189" spans="1:9" ht="12.75">
      <c r="A189" s="626"/>
      <c r="B189" s="310"/>
      <c r="C189" s="310"/>
      <c r="D189" s="310"/>
      <c r="E189" s="310"/>
      <c r="F189" s="310"/>
      <c r="G189" s="310"/>
      <c r="H189" s="310"/>
      <c r="I189" s="252"/>
    </row>
    <row r="190" spans="1:8" ht="12.75">
      <c r="A190" s="626"/>
      <c r="B190" s="310"/>
      <c r="C190" s="310"/>
      <c r="D190" s="310"/>
      <c r="E190" s="310"/>
      <c r="F190" s="310"/>
      <c r="G190" s="310"/>
      <c r="H190" s="310"/>
    </row>
    <row r="191" spans="1:8" ht="12.75">
      <c r="A191" s="626"/>
      <c r="B191" s="310"/>
      <c r="C191" s="310"/>
      <c r="D191" s="310"/>
      <c r="E191" s="310"/>
      <c r="F191" s="310"/>
      <c r="G191" s="310"/>
      <c r="H191" s="310"/>
    </row>
    <row r="192" spans="1:8" ht="12.75">
      <c r="A192" s="626"/>
      <c r="B192" s="310"/>
      <c r="C192" s="310"/>
      <c r="D192" s="310"/>
      <c r="E192" s="310"/>
      <c r="F192" s="310"/>
      <c r="G192" s="310"/>
      <c r="H192" s="310"/>
    </row>
    <row r="193" spans="1:8" ht="12.75">
      <c r="A193" s="626"/>
      <c r="B193" s="310"/>
      <c r="C193" s="310"/>
      <c r="D193" s="310"/>
      <c r="E193" s="310"/>
      <c r="F193" s="310"/>
      <c r="G193" s="310"/>
      <c r="H193" s="310"/>
    </row>
    <row r="194" spans="1:8" ht="12.75">
      <c r="A194" s="626"/>
      <c r="B194" s="310"/>
      <c r="C194" s="310"/>
      <c r="D194" s="310"/>
      <c r="E194" s="310"/>
      <c r="F194" s="310"/>
      <c r="G194" s="310"/>
      <c r="H194" s="310"/>
    </row>
    <row r="195" spans="1:8" ht="12.75">
      <c r="A195" s="626"/>
      <c r="B195" s="310"/>
      <c r="C195" s="310"/>
      <c r="D195" s="310"/>
      <c r="E195" s="310"/>
      <c r="F195" s="310"/>
      <c r="G195" s="310"/>
      <c r="H195" s="310"/>
    </row>
    <row r="196" spans="1:8" ht="12.75">
      <c r="A196" s="626"/>
      <c r="B196" s="310"/>
      <c r="C196" s="310"/>
      <c r="D196" s="310"/>
      <c r="E196" s="310"/>
      <c r="F196" s="310"/>
      <c r="G196" s="310"/>
      <c r="H196" s="310"/>
    </row>
    <row r="197" spans="1:8" ht="12.75">
      <c r="A197" s="626"/>
      <c r="B197" s="310"/>
      <c r="C197" s="310"/>
      <c r="D197" s="310"/>
      <c r="E197" s="310"/>
      <c r="F197" s="310"/>
      <c r="G197" s="310"/>
      <c r="H197" s="310"/>
    </row>
    <row r="198" spans="1:8" ht="12.75">
      <c r="A198" s="626"/>
      <c r="B198" s="310"/>
      <c r="C198" s="310"/>
      <c r="D198" s="310"/>
      <c r="E198" s="310"/>
      <c r="F198" s="310"/>
      <c r="G198" s="310"/>
      <c r="H198" s="310"/>
    </row>
    <row r="199" spans="1:8" ht="12.75">
      <c r="A199" s="626"/>
      <c r="B199" s="310"/>
      <c r="C199" s="310"/>
      <c r="D199" s="310"/>
      <c r="E199" s="310"/>
      <c r="F199" s="310"/>
      <c r="G199" s="310"/>
      <c r="H199" s="310"/>
    </row>
    <row r="200" spans="1:8" ht="12.75">
      <c r="A200" s="626"/>
      <c r="B200" s="310"/>
      <c r="C200" s="310"/>
      <c r="D200" s="310"/>
      <c r="E200" s="310"/>
      <c r="F200" s="310"/>
      <c r="G200" s="310"/>
      <c r="H200" s="310"/>
    </row>
    <row r="201" spans="1:8" ht="12.75">
      <c r="A201" s="626"/>
      <c r="B201" s="310"/>
      <c r="C201" s="310"/>
      <c r="D201" s="310"/>
      <c r="E201" s="310"/>
      <c r="F201" s="310"/>
      <c r="G201" s="310"/>
      <c r="H201" s="310"/>
    </row>
    <row r="202" spans="1:8" ht="12.75">
      <c r="A202" s="626"/>
      <c r="B202" s="310"/>
      <c r="C202" s="310"/>
      <c r="D202" s="310"/>
      <c r="E202" s="310"/>
      <c r="F202" s="310"/>
      <c r="G202" s="310"/>
      <c r="H202" s="310"/>
    </row>
    <row r="203" spans="1:8" ht="12.75">
      <c r="A203" s="626"/>
      <c r="B203" s="310"/>
      <c r="C203" s="310"/>
      <c r="D203" s="310"/>
      <c r="E203" s="310"/>
      <c r="F203" s="310"/>
      <c r="G203" s="310"/>
      <c r="H203" s="310"/>
    </row>
    <row r="204" spans="1:8" ht="12.75">
      <c r="A204" s="626"/>
      <c r="B204" s="310"/>
      <c r="C204" s="310"/>
      <c r="D204" s="310"/>
      <c r="E204" s="310"/>
      <c r="F204" s="310"/>
      <c r="G204" s="310"/>
      <c r="H204" s="310"/>
    </row>
    <row r="205" spans="1:8" ht="12.75">
      <c r="A205" s="626"/>
      <c r="B205" s="310"/>
      <c r="C205" s="310"/>
      <c r="D205" s="310"/>
      <c r="E205" s="310"/>
      <c r="F205" s="310"/>
      <c r="G205" s="310"/>
      <c r="H205" s="310"/>
    </row>
    <row r="206" spans="1:8" ht="12.75">
      <c r="A206" s="626"/>
      <c r="B206" s="310"/>
      <c r="C206" s="310"/>
      <c r="D206" s="310"/>
      <c r="E206" s="310"/>
      <c r="F206" s="310"/>
      <c r="G206" s="310"/>
      <c r="H206" s="310"/>
    </row>
    <row r="207" spans="1:8" ht="12.75">
      <c r="A207" s="626"/>
      <c r="B207" s="310"/>
      <c r="C207" s="310"/>
      <c r="D207" s="310"/>
      <c r="E207" s="310"/>
      <c r="F207" s="310"/>
      <c r="G207" s="310"/>
      <c r="H207" s="310"/>
    </row>
    <row r="208" spans="1:8" ht="12.75">
      <c r="A208" s="626"/>
      <c r="B208" s="310"/>
      <c r="C208" s="310"/>
      <c r="D208" s="310"/>
      <c r="E208" s="310"/>
      <c r="F208" s="310"/>
      <c r="G208" s="310"/>
      <c r="H208" s="310"/>
    </row>
    <row r="209" spans="1:8" ht="12.75">
      <c r="A209" s="626"/>
      <c r="B209" s="310"/>
      <c r="C209" s="310"/>
      <c r="D209" s="310"/>
      <c r="E209" s="310"/>
      <c r="F209" s="310"/>
      <c r="G209" s="310"/>
      <c r="H209" s="310"/>
    </row>
    <row r="210" spans="1:8" ht="12.75">
      <c r="A210" s="626"/>
      <c r="B210" s="310"/>
      <c r="C210" s="310"/>
      <c r="D210" s="310"/>
      <c r="E210" s="310"/>
      <c r="F210" s="310"/>
      <c r="G210" s="310"/>
      <c r="H210" s="310"/>
    </row>
    <row r="211" spans="1:8" ht="12.75">
      <c r="A211" s="626"/>
      <c r="B211" s="310"/>
      <c r="C211" s="310"/>
      <c r="D211" s="310"/>
      <c r="E211" s="310"/>
      <c r="F211" s="310"/>
      <c r="G211" s="310"/>
      <c r="H211" s="310"/>
    </row>
    <row r="212" spans="1:8" ht="12.75">
      <c r="A212" s="626"/>
      <c r="B212" s="310"/>
      <c r="C212" s="310"/>
      <c r="D212" s="310"/>
      <c r="E212" s="310"/>
      <c r="F212" s="310"/>
      <c r="G212" s="310"/>
      <c r="H212" s="310"/>
    </row>
    <row r="213" spans="1:8" ht="12.75">
      <c r="A213" s="626"/>
      <c r="B213" s="310"/>
      <c r="C213" s="310"/>
      <c r="D213" s="310"/>
      <c r="E213" s="310"/>
      <c r="F213" s="310"/>
      <c r="G213" s="310"/>
      <c r="H213" s="310"/>
    </row>
    <row r="214" spans="1:8" ht="12.75">
      <c r="A214" s="626"/>
      <c r="B214" s="310"/>
      <c r="C214" s="310"/>
      <c r="D214" s="310"/>
      <c r="E214" s="310"/>
      <c r="F214" s="310"/>
      <c r="G214" s="310"/>
      <c r="H214" s="310"/>
    </row>
    <row r="215" spans="1:8" ht="12.75">
      <c r="A215" s="626"/>
      <c r="B215" s="310"/>
      <c r="C215" s="310"/>
      <c r="D215" s="310"/>
      <c r="E215" s="310"/>
      <c r="F215" s="310"/>
      <c r="G215" s="310"/>
      <c r="H215" s="310"/>
    </row>
    <row r="216" spans="1:8" ht="12.75">
      <c r="A216" s="626"/>
      <c r="B216" s="310"/>
      <c r="C216" s="310"/>
      <c r="D216" s="310"/>
      <c r="E216" s="310"/>
      <c r="F216" s="310"/>
      <c r="G216" s="310"/>
      <c r="H216" s="310"/>
    </row>
    <row r="217" spans="1:8" ht="12.75">
      <c r="A217" s="626"/>
      <c r="B217" s="310"/>
      <c r="C217" s="310"/>
      <c r="D217" s="310"/>
      <c r="E217" s="310"/>
      <c r="F217" s="310"/>
      <c r="G217" s="310"/>
      <c r="H217" s="310"/>
    </row>
    <row r="218" spans="1:8" ht="12.75">
      <c r="A218" s="626"/>
      <c r="B218" s="310"/>
      <c r="C218" s="310"/>
      <c r="D218" s="310"/>
      <c r="E218" s="310"/>
      <c r="F218" s="310"/>
      <c r="G218" s="310"/>
      <c r="H218" s="310"/>
    </row>
    <row r="219" spans="1:8" ht="12.75">
      <c r="A219" s="626"/>
      <c r="B219" s="310"/>
      <c r="C219" s="310"/>
      <c r="D219" s="310"/>
      <c r="E219" s="310"/>
      <c r="F219" s="310"/>
      <c r="G219" s="310"/>
      <c r="H219" s="310"/>
    </row>
    <row r="220" spans="1:8" ht="12.75">
      <c r="A220" s="626"/>
      <c r="B220" s="310"/>
      <c r="C220" s="310"/>
      <c r="D220" s="310"/>
      <c r="E220" s="310"/>
      <c r="F220" s="310"/>
      <c r="G220" s="310"/>
      <c r="H220" s="310"/>
    </row>
    <row r="221" spans="1:8" ht="12.75">
      <c r="A221" s="626"/>
      <c r="B221" s="310"/>
      <c r="C221" s="310"/>
      <c r="D221" s="310"/>
      <c r="E221" s="310"/>
      <c r="F221" s="310"/>
      <c r="G221" s="310"/>
      <c r="H221" s="310"/>
    </row>
    <row r="222" spans="1:8" ht="12.75">
      <c r="A222" s="626"/>
      <c r="B222" s="310"/>
      <c r="C222" s="310"/>
      <c r="D222" s="310"/>
      <c r="E222" s="310"/>
      <c r="F222" s="310"/>
      <c r="G222" s="310"/>
      <c r="H222" s="310"/>
    </row>
    <row r="223" spans="1:8" ht="12.75">
      <c r="A223" s="626"/>
      <c r="B223" s="310"/>
      <c r="C223" s="310"/>
      <c r="D223" s="310"/>
      <c r="E223" s="310"/>
      <c r="F223" s="310"/>
      <c r="G223" s="310"/>
      <c r="H223" s="310"/>
    </row>
    <row r="224" spans="1:8" ht="12.75">
      <c r="A224" s="626"/>
      <c r="B224" s="310"/>
      <c r="C224" s="310"/>
      <c r="D224" s="310"/>
      <c r="E224" s="310"/>
      <c r="F224" s="310"/>
      <c r="G224" s="310"/>
      <c r="H224" s="310"/>
    </row>
    <row r="225" spans="1:8" ht="12.75">
      <c r="A225" s="626"/>
      <c r="B225" s="310"/>
      <c r="C225" s="310"/>
      <c r="D225" s="310"/>
      <c r="E225" s="310"/>
      <c r="F225" s="310"/>
      <c r="G225" s="310"/>
      <c r="H225" s="310"/>
    </row>
    <row r="226" spans="1:8" ht="12.75">
      <c r="A226" s="626"/>
      <c r="B226" s="310"/>
      <c r="C226" s="310"/>
      <c r="D226" s="310"/>
      <c r="E226" s="310"/>
      <c r="F226" s="310"/>
      <c r="G226" s="310"/>
      <c r="H226" s="310"/>
    </row>
    <row r="227" spans="1:8" ht="12.75">
      <c r="A227" s="626"/>
      <c r="B227" s="310"/>
      <c r="C227" s="310"/>
      <c r="D227" s="310"/>
      <c r="E227" s="310"/>
      <c r="F227" s="310"/>
      <c r="G227" s="310"/>
      <c r="H227" s="310"/>
    </row>
    <row r="228" spans="1:8" ht="12.75">
      <c r="A228" s="626"/>
      <c r="B228" s="310"/>
      <c r="C228" s="310"/>
      <c r="D228" s="310"/>
      <c r="E228" s="310"/>
      <c r="F228" s="310"/>
      <c r="G228" s="310"/>
      <c r="H228" s="310"/>
    </row>
    <row r="229" spans="1:8" ht="12.75">
      <c r="A229" s="626"/>
      <c r="B229" s="310"/>
      <c r="C229" s="310"/>
      <c r="D229" s="310"/>
      <c r="E229" s="310"/>
      <c r="F229" s="310"/>
      <c r="G229" s="310"/>
      <c r="H229" s="310"/>
    </row>
    <row r="230" spans="1:8" ht="12.75">
      <c r="A230" s="626"/>
      <c r="B230" s="310"/>
      <c r="C230" s="310"/>
      <c r="D230" s="310"/>
      <c r="E230" s="310"/>
      <c r="F230" s="310"/>
      <c r="G230" s="310"/>
      <c r="H230" s="310"/>
    </row>
    <row r="231" spans="1:8" ht="12.75">
      <c r="A231" s="626"/>
      <c r="B231" s="310"/>
      <c r="C231" s="310"/>
      <c r="D231" s="310"/>
      <c r="E231" s="310"/>
      <c r="F231" s="310"/>
      <c r="G231" s="310"/>
      <c r="H231" s="310"/>
    </row>
    <row r="232" spans="1:8" ht="12.75">
      <c r="A232" s="626"/>
      <c r="B232" s="310"/>
      <c r="C232" s="310"/>
      <c r="D232" s="310"/>
      <c r="E232" s="310"/>
      <c r="F232" s="310"/>
      <c r="G232" s="310"/>
      <c r="H232" s="310"/>
    </row>
    <row r="233" spans="1:8" ht="12.75">
      <c r="A233" s="626"/>
      <c r="B233" s="310"/>
      <c r="C233" s="310"/>
      <c r="D233" s="310"/>
      <c r="E233" s="310"/>
      <c r="F233" s="310"/>
      <c r="G233" s="310"/>
      <c r="H233" s="310"/>
    </row>
    <row r="234" spans="1:8" ht="12.75">
      <c r="A234" s="626"/>
      <c r="B234" s="310"/>
      <c r="C234" s="310"/>
      <c r="D234" s="310"/>
      <c r="E234" s="310"/>
      <c r="F234" s="310"/>
      <c r="G234" s="310"/>
      <c r="H234" s="310"/>
    </row>
    <row r="235" spans="1:8" ht="12.75">
      <c r="A235" s="626"/>
      <c r="B235" s="310"/>
      <c r="C235" s="310"/>
      <c r="D235" s="310"/>
      <c r="E235" s="310"/>
      <c r="F235" s="310"/>
      <c r="G235" s="310"/>
      <c r="H235" s="310"/>
    </row>
    <row r="236" spans="1:8" ht="12.75">
      <c r="A236" s="626"/>
      <c r="B236" s="310"/>
      <c r="C236" s="310"/>
      <c r="D236" s="310"/>
      <c r="E236" s="310"/>
      <c r="F236" s="310"/>
      <c r="G236" s="310"/>
      <c r="H236" s="310"/>
    </row>
    <row r="237" spans="1:8" ht="12.75">
      <c r="A237" s="626"/>
      <c r="B237" s="310"/>
      <c r="C237" s="310"/>
      <c r="D237" s="310"/>
      <c r="E237" s="310"/>
      <c r="F237" s="310"/>
      <c r="G237" s="310"/>
      <c r="H237" s="310"/>
    </row>
    <row r="238" spans="1:8" ht="12.75">
      <c r="A238" s="626"/>
      <c r="B238" s="310"/>
      <c r="C238" s="310"/>
      <c r="D238" s="310"/>
      <c r="E238" s="310"/>
      <c r="F238" s="310"/>
      <c r="G238" s="310"/>
      <c r="H238" s="310"/>
    </row>
    <row r="239" spans="1:8" ht="12.75">
      <c r="A239" s="626"/>
      <c r="B239" s="310"/>
      <c r="C239" s="310"/>
      <c r="D239" s="310"/>
      <c r="E239" s="310"/>
      <c r="F239" s="310"/>
      <c r="G239" s="310"/>
      <c r="H239" s="310"/>
    </row>
    <row r="240" spans="1:8" ht="12.75">
      <c r="A240" s="626"/>
      <c r="B240" s="310"/>
      <c r="C240" s="310"/>
      <c r="D240" s="310"/>
      <c r="E240" s="310"/>
      <c r="F240" s="310"/>
      <c r="G240" s="310"/>
      <c r="H240" s="310"/>
    </row>
    <row r="241" spans="1:8" ht="12.75">
      <c r="A241" s="626"/>
      <c r="B241" s="310"/>
      <c r="C241" s="310"/>
      <c r="D241" s="310"/>
      <c r="E241" s="310"/>
      <c r="F241" s="310"/>
      <c r="G241" s="310"/>
      <c r="H241" s="310"/>
    </row>
    <row r="242" spans="1:8" ht="12.75">
      <c r="A242" s="626"/>
      <c r="B242" s="310"/>
      <c r="C242" s="310"/>
      <c r="D242" s="310"/>
      <c r="E242" s="310"/>
      <c r="F242" s="310"/>
      <c r="G242" s="310"/>
      <c r="H242" s="310"/>
    </row>
    <row r="243" spans="1:8" ht="12.75">
      <c r="A243" s="626"/>
      <c r="B243" s="310"/>
      <c r="C243" s="310"/>
      <c r="D243" s="310"/>
      <c r="E243" s="310"/>
      <c r="F243" s="310"/>
      <c r="G243" s="310"/>
      <c r="H243" s="310"/>
    </row>
    <row r="244" spans="1:8" ht="12.75">
      <c r="A244" s="626"/>
      <c r="B244" s="310"/>
      <c r="C244" s="310"/>
      <c r="D244" s="310"/>
      <c r="E244" s="310"/>
      <c r="F244" s="310"/>
      <c r="G244" s="310"/>
      <c r="H244" s="310"/>
    </row>
    <row r="245" spans="1:8" ht="12.75">
      <c r="A245" s="626"/>
      <c r="B245" s="310"/>
      <c r="C245" s="310"/>
      <c r="D245" s="310"/>
      <c r="E245" s="310"/>
      <c r="F245" s="310"/>
      <c r="G245" s="310"/>
      <c r="H245" s="310"/>
    </row>
    <row r="246" spans="1:8" ht="12.75">
      <c r="A246" s="626"/>
      <c r="B246" s="310"/>
      <c r="C246" s="310"/>
      <c r="D246" s="310"/>
      <c r="E246" s="310"/>
      <c r="F246" s="310"/>
      <c r="G246" s="310"/>
      <c r="H246" s="310"/>
    </row>
    <row r="247" spans="1:8" ht="12.75">
      <c r="A247" s="626"/>
      <c r="B247" s="310"/>
      <c r="C247" s="310"/>
      <c r="D247" s="310"/>
      <c r="E247" s="310"/>
      <c r="F247" s="310"/>
      <c r="G247" s="310"/>
      <c r="H247" s="310"/>
    </row>
    <row r="248" spans="1:8" ht="12.75">
      <c r="A248" s="626"/>
      <c r="B248" s="310"/>
      <c r="C248" s="310"/>
      <c r="D248" s="310"/>
      <c r="E248" s="310"/>
      <c r="F248" s="310"/>
      <c r="G248" s="310"/>
      <c r="H248" s="310"/>
    </row>
    <row r="249" spans="1:8" ht="12.75">
      <c r="A249" s="626"/>
      <c r="B249" s="310"/>
      <c r="C249" s="310"/>
      <c r="D249" s="310"/>
      <c r="E249" s="310"/>
      <c r="F249" s="310"/>
      <c r="G249" s="310"/>
      <c r="H249" s="310"/>
    </row>
    <row r="250" spans="1:8" ht="12.75">
      <c r="A250" s="626"/>
      <c r="B250" s="310"/>
      <c r="C250" s="310"/>
      <c r="D250" s="310"/>
      <c r="E250" s="310"/>
      <c r="F250" s="310"/>
      <c r="G250" s="310"/>
      <c r="H250" s="310"/>
    </row>
    <row r="251" spans="1:8" ht="12.75">
      <c r="A251" s="626"/>
      <c r="B251" s="310"/>
      <c r="C251" s="310"/>
      <c r="D251" s="310"/>
      <c r="E251" s="310"/>
      <c r="F251" s="310"/>
      <c r="G251" s="310"/>
      <c r="H251" s="310"/>
    </row>
    <row r="252" spans="1:8" ht="12.75">
      <c r="A252" s="626"/>
      <c r="B252" s="310"/>
      <c r="C252" s="310"/>
      <c r="D252" s="310"/>
      <c r="E252" s="310"/>
      <c r="F252" s="310"/>
      <c r="G252" s="310"/>
      <c r="H252" s="310"/>
    </row>
    <row r="253" spans="1:8" ht="12.75">
      <c r="A253" s="626"/>
      <c r="B253" s="310"/>
      <c r="C253" s="310"/>
      <c r="D253" s="310"/>
      <c r="E253" s="310"/>
      <c r="F253" s="310"/>
      <c r="G253" s="310"/>
      <c r="H253" s="310"/>
    </row>
    <row r="254" spans="1:8" ht="12.75">
      <c r="A254" s="626"/>
      <c r="B254" s="310"/>
      <c r="C254" s="310"/>
      <c r="D254" s="310"/>
      <c r="E254" s="310"/>
      <c r="F254" s="310"/>
      <c r="G254" s="310"/>
      <c r="H254" s="310"/>
    </row>
    <row r="255" spans="1:8" ht="12.75">
      <c r="A255" s="626"/>
      <c r="B255" s="310"/>
      <c r="C255" s="310"/>
      <c r="D255" s="310"/>
      <c r="E255" s="310"/>
      <c r="F255" s="310"/>
      <c r="G255" s="310"/>
      <c r="H255" s="310"/>
    </row>
    <row r="256" spans="1:8" ht="12.75">
      <c r="A256" s="626"/>
      <c r="B256" s="310"/>
      <c r="C256" s="310"/>
      <c r="D256" s="310"/>
      <c r="E256" s="310"/>
      <c r="F256" s="310"/>
      <c r="G256" s="310"/>
      <c r="H256" s="310"/>
    </row>
    <row r="257" spans="1:8" ht="12.75">
      <c r="A257" s="626"/>
      <c r="B257" s="310"/>
      <c r="C257" s="310"/>
      <c r="D257" s="310"/>
      <c r="E257" s="310"/>
      <c r="F257" s="310"/>
      <c r="G257" s="310"/>
      <c r="H257" s="310"/>
    </row>
    <row r="258" spans="1:8" ht="12.75">
      <c r="A258" s="626"/>
      <c r="B258" s="310"/>
      <c r="C258" s="310"/>
      <c r="D258" s="310"/>
      <c r="E258" s="310"/>
      <c r="F258" s="310"/>
      <c r="G258" s="310"/>
      <c r="H258" s="310"/>
    </row>
    <row r="259" spans="1:8" ht="12.75">
      <c r="A259" s="626"/>
      <c r="B259" s="310"/>
      <c r="C259" s="310"/>
      <c r="D259" s="310"/>
      <c r="E259" s="310"/>
      <c r="F259" s="310"/>
      <c r="G259" s="310"/>
      <c r="H259" s="310"/>
    </row>
    <row r="260" spans="1:8" ht="12.75">
      <c r="A260" s="626"/>
      <c r="B260" s="310"/>
      <c r="C260" s="310"/>
      <c r="D260" s="310"/>
      <c r="E260" s="310"/>
      <c r="F260" s="310"/>
      <c r="G260" s="310"/>
      <c r="H260" s="310"/>
    </row>
    <row r="261" spans="1:8" ht="12.75">
      <c r="A261" s="626"/>
      <c r="B261" s="310"/>
      <c r="C261" s="310"/>
      <c r="D261" s="310"/>
      <c r="E261" s="310"/>
      <c r="F261" s="310"/>
      <c r="G261" s="310"/>
      <c r="H261" s="310"/>
    </row>
    <row r="262" spans="1:8" ht="12.75">
      <c r="A262" s="626"/>
      <c r="B262" s="310"/>
      <c r="C262" s="310"/>
      <c r="D262" s="310"/>
      <c r="E262" s="310"/>
      <c r="F262" s="310"/>
      <c r="G262" s="310"/>
      <c r="H262" s="310"/>
    </row>
    <row r="263" spans="1:8" ht="12.75">
      <c r="A263" s="626"/>
      <c r="B263" s="310"/>
      <c r="C263" s="310"/>
      <c r="D263" s="310"/>
      <c r="E263" s="310"/>
      <c r="F263" s="310"/>
      <c r="G263" s="310"/>
      <c r="H263" s="310"/>
    </row>
    <row r="264" spans="1:8" ht="12.75">
      <c r="A264" s="626"/>
      <c r="B264" s="310"/>
      <c r="C264" s="310"/>
      <c r="D264" s="310"/>
      <c r="E264" s="310"/>
      <c r="F264" s="310"/>
      <c r="G264" s="310"/>
      <c r="H264" s="310"/>
    </row>
    <row r="265" spans="1:8" ht="12.75">
      <c r="A265" s="626"/>
      <c r="B265" s="310"/>
      <c r="C265" s="310"/>
      <c r="D265" s="310"/>
      <c r="E265" s="310"/>
      <c r="F265" s="310"/>
      <c r="G265" s="310"/>
      <c r="H265" s="310"/>
    </row>
    <row r="266" spans="1:8" ht="12.75">
      <c r="A266" s="626"/>
      <c r="B266" s="310"/>
      <c r="C266" s="310"/>
      <c r="D266" s="310"/>
      <c r="E266" s="310"/>
      <c r="F266" s="310"/>
      <c r="G266" s="310"/>
      <c r="H266" s="310"/>
    </row>
    <row r="267" spans="1:8" ht="12.75">
      <c r="A267" s="626"/>
      <c r="B267" s="310"/>
      <c r="C267" s="310"/>
      <c r="D267" s="310"/>
      <c r="E267" s="310"/>
      <c r="F267" s="310"/>
      <c r="G267" s="310"/>
      <c r="H267" s="310"/>
    </row>
    <row r="268" spans="1:8" ht="12.75">
      <c r="A268" s="626"/>
      <c r="B268" s="310"/>
      <c r="C268" s="310"/>
      <c r="D268" s="310"/>
      <c r="E268" s="310"/>
      <c r="F268" s="310"/>
      <c r="G268" s="310"/>
      <c r="H268" s="310"/>
    </row>
    <row r="269" spans="1:8" ht="12.75">
      <c r="A269" s="626"/>
      <c r="B269" s="310"/>
      <c r="C269" s="310"/>
      <c r="D269" s="310"/>
      <c r="E269" s="310"/>
      <c r="F269" s="310"/>
      <c r="G269" s="310"/>
      <c r="H269" s="310"/>
    </row>
    <row r="270" spans="1:8" ht="12.75">
      <c r="A270" s="626"/>
      <c r="B270" s="310"/>
      <c r="C270" s="310"/>
      <c r="D270" s="310"/>
      <c r="E270" s="310"/>
      <c r="F270" s="310"/>
      <c r="G270" s="310"/>
      <c r="H270" s="310"/>
    </row>
    <row r="271" spans="1:8" ht="12.75">
      <c r="A271" s="626"/>
      <c r="B271" s="310"/>
      <c r="C271" s="310"/>
      <c r="D271" s="310"/>
      <c r="E271" s="310"/>
      <c r="F271" s="310"/>
      <c r="G271" s="310"/>
      <c r="H271" s="310"/>
    </row>
    <row r="272" spans="1:8" ht="12.75">
      <c r="A272" s="626"/>
      <c r="B272" s="310"/>
      <c r="C272" s="310"/>
      <c r="D272" s="310"/>
      <c r="E272" s="310"/>
      <c r="F272" s="310"/>
      <c r="G272" s="310"/>
      <c r="H272" s="310"/>
    </row>
    <row r="273" spans="1:8" ht="12.75">
      <c r="A273" s="626"/>
      <c r="B273" s="310"/>
      <c r="C273" s="310"/>
      <c r="D273" s="310"/>
      <c r="E273" s="310"/>
      <c r="F273" s="310"/>
      <c r="G273" s="310"/>
      <c r="H273" s="310"/>
    </row>
    <row r="274" spans="1:8" ht="12.75">
      <c r="A274" s="626"/>
      <c r="B274" s="310"/>
      <c r="C274" s="310"/>
      <c r="D274" s="310"/>
      <c r="E274" s="310"/>
      <c r="F274" s="310"/>
      <c r="G274" s="310"/>
      <c r="H274" s="310"/>
    </row>
    <row r="275" spans="1:8" ht="12.75">
      <c r="A275" s="626"/>
      <c r="B275" s="310"/>
      <c r="C275" s="310"/>
      <c r="D275" s="310"/>
      <c r="E275" s="310"/>
      <c r="F275" s="310"/>
      <c r="G275" s="310"/>
      <c r="H275" s="310"/>
    </row>
    <row r="276" spans="1:8" ht="12.75">
      <c r="A276" s="626"/>
      <c r="B276" s="310"/>
      <c r="C276" s="310"/>
      <c r="D276" s="310"/>
      <c r="E276" s="310"/>
      <c r="F276" s="310"/>
      <c r="G276" s="310"/>
      <c r="H276" s="310"/>
    </row>
    <row r="277" spans="1:8" ht="12.75">
      <c r="A277" s="626"/>
      <c r="B277" s="310"/>
      <c r="C277" s="310"/>
      <c r="D277" s="310"/>
      <c r="E277" s="310"/>
      <c r="F277" s="310"/>
      <c r="G277" s="310"/>
      <c r="H277" s="310"/>
    </row>
    <row r="278" spans="1:8" ht="12.75">
      <c r="A278" s="626"/>
      <c r="B278" s="310"/>
      <c r="C278" s="310"/>
      <c r="D278" s="310"/>
      <c r="E278" s="310"/>
      <c r="F278" s="310"/>
      <c r="G278" s="310"/>
      <c r="H278" s="310"/>
    </row>
    <row r="279" spans="1:8" ht="12.75">
      <c r="A279" s="626"/>
      <c r="B279" s="310"/>
      <c r="C279" s="310"/>
      <c r="D279" s="310"/>
      <c r="E279" s="310"/>
      <c r="F279" s="310"/>
      <c r="G279" s="310"/>
      <c r="H279" s="310"/>
    </row>
    <row r="280" spans="1:8" ht="12.75">
      <c r="A280" s="626"/>
      <c r="B280" s="310"/>
      <c r="C280" s="310"/>
      <c r="D280" s="310"/>
      <c r="E280" s="310"/>
      <c r="F280" s="310"/>
      <c r="G280" s="310"/>
      <c r="H280" s="310"/>
    </row>
    <row r="281" spans="1:8" ht="12.75">
      <c r="A281" s="626"/>
      <c r="B281" s="310"/>
      <c r="C281" s="310"/>
      <c r="D281" s="310"/>
      <c r="E281" s="310"/>
      <c r="F281" s="310"/>
      <c r="G281" s="310"/>
      <c r="H281" s="310"/>
    </row>
    <row r="282" spans="1:8" ht="12.75">
      <c r="A282" s="626"/>
      <c r="B282" s="310"/>
      <c r="C282" s="310"/>
      <c r="D282" s="310"/>
      <c r="E282" s="310"/>
      <c r="F282" s="310"/>
      <c r="G282" s="310"/>
      <c r="H282" s="310"/>
    </row>
    <row r="283" spans="1:8" ht="12.75">
      <c r="A283" s="626"/>
      <c r="B283" s="310"/>
      <c r="C283" s="310"/>
      <c r="D283" s="310"/>
      <c r="E283" s="310"/>
      <c r="F283" s="310"/>
      <c r="G283" s="310"/>
      <c r="H283" s="310"/>
    </row>
    <row r="284" spans="1:8" ht="12.75">
      <c r="A284" s="626"/>
      <c r="B284" s="310"/>
      <c r="C284" s="310"/>
      <c r="D284" s="310"/>
      <c r="E284" s="310"/>
      <c r="F284" s="310"/>
      <c r="G284" s="310"/>
      <c r="H284" s="310"/>
    </row>
    <row r="285" spans="1:8" ht="12.75">
      <c r="A285" s="626"/>
      <c r="B285" s="310"/>
      <c r="C285" s="310"/>
      <c r="D285" s="310"/>
      <c r="E285" s="310"/>
      <c r="F285" s="310"/>
      <c r="G285" s="310"/>
      <c r="H285" s="310"/>
    </row>
    <row r="286" spans="1:8" ht="12.75">
      <c r="A286" s="626"/>
      <c r="B286" s="310"/>
      <c r="C286" s="310"/>
      <c r="D286" s="310"/>
      <c r="E286" s="310"/>
      <c r="F286" s="310"/>
      <c r="G286" s="310"/>
      <c r="H286" s="310"/>
    </row>
    <row r="287" spans="1:8" ht="12.75">
      <c r="A287" s="626"/>
      <c r="B287" s="310"/>
      <c r="C287" s="310"/>
      <c r="D287" s="310"/>
      <c r="E287" s="310"/>
      <c r="F287" s="310"/>
      <c r="G287" s="310"/>
      <c r="H287" s="310"/>
    </row>
    <row r="288" spans="1:8" ht="12.75">
      <c r="A288" s="626"/>
      <c r="B288" s="310"/>
      <c r="C288" s="310"/>
      <c r="D288" s="310"/>
      <c r="E288" s="310"/>
      <c r="F288" s="310"/>
      <c r="G288" s="310"/>
      <c r="H288" s="310"/>
    </row>
    <row r="289" spans="1:8" ht="12.75">
      <c r="A289" s="626"/>
      <c r="B289" s="310"/>
      <c r="C289" s="310"/>
      <c r="D289" s="310"/>
      <c r="E289" s="310"/>
      <c r="F289" s="310"/>
      <c r="G289" s="310"/>
      <c r="H289" s="310"/>
    </row>
    <row r="290" spans="1:8" ht="12.75">
      <c r="A290" s="626"/>
      <c r="B290" s="310"/>
      <c r="C290" s="310"/>
      <c r="D290" s="310"/>
      <c r="E290" s="310"/>
      <c r="F290" s="310"/>
      <c r="G290" s="310"/>
      <c r="H290" s="310"/>
    </row>
    <row r="291" spans="1:8" ht="12.75">
      <c r="A291" s="626"/>
      <c r="B291" s="310"/>
      <c r="C291" s="310"/>
      <c r="D291" s="310"/>
      <c r="E291" s="310"/>
      <c r="F291" s="310"/>
      <c r="G291" s="310"/>
      <c r="H291" s="310"/>
    </row>
    <row r="292" spans="1:8" ht="12.75">
      <c r="A292" s="626"/>
      <c r="B292" s="310"/>
      <c r="C292" s="310"/>
      <c r="D292" s="310"/>
      <c r="E292" s="310"/>
      <c r="F292" s="310"/>
      <c r="G292" s="310"/>
      <c r="H292" s="310"/>
    </row>
    <row r="293" spans="1:8" ht="12.75">
      <c r="A293" s="626"/>
      <c r="B293" s="310"/>
      <c r="C293" s="310"/>
      <c r="D293" s="310"/>
      <c r="E293" s="310"/>
      <c r="F293" s="310"/>
      <c r="G293" s="310"/>
      <c r="H293" s="310"/>
    </row>
    <row r="294" spans="1:8" ht="12.75">
      <c r="A294" s="626"/>
      <c r="B294" s="310"/>
      <c r="C294" s="310"/>
      <c r="D294" s="310"/>
      <c r="E294" s="310"/>
      <c r="F294" s="310"/>
      <c r="G294" s="310"/>
      <c r="H294" s="310"/>
    </row>
    <row r="295" spans="1:8" ht="12.75">
      <c r="A295" s="626"/>
      <c r="B295" s="310"/>
      <c r="C295" s="310"/>
      <c r="D295" s="310"/>
      <c r="E295" s="310"/>
      <c r="F295" s="310"/>
      <c r="G295" s="310"/>
      <c r="H295" s="310"/>
    </row>
    <row r="296" spans="1:8" ht="12.75">
      <c r="A296" s="626"/>
      <c r="B296" s="310"/>
      <c r="C296" s="310"/>
      <c r="D296" s="310"/>
      <c r="E296" s="310"/>
      <c r="F296" s="310"/>
      <c r="G296" s="310"/>
      <c r="H296" s="310"/>
    </row>
    <row r="297" spans="1:8" ht="12.75">
      <c r="A297" s="626"/>
      <c r="B297" s="310"/>
      <c r="C297" s="310"/>
      <c r="D297" s="310"/>
      <c r="E297" s="310"/>
      <c r="F297" s="310"/>
      <c r="G297" s="310"/>
      <c r="H297" s="310"/>
    </row>
    <row r="298" spans="1:8" ht="12.75">
      <c r="A298" s="626"/>
      <c r="B298" s="310"/>
      <c r="C298" s="310"/>
      <c r="D298" s="310"/>
      <c r="E298" s="310"/>
      <c r="F298" s="310"/>
      <c r="G298" s="310"/>
      <c r="H298" s="310"/>
    </row>
    <row r="299" spans="1:8" ht="12.75">
      <c r="A299" s="626"/>
      <c r="B299" s="310"/>
      <c r="C299" s="310"/>
      <c r="D299" s="310"/>
      <c r="E299" s="310"/>
      <c r="F299" s="310"/>
      <c r="G299" s="310"/>
      <c r="H299" s="310"/>
    </row>
    <row r="300" spans="1:8" ht="12.75">
      <c r="A300" s="626"/>
      <c r="B300" s="310"/>
      <c r="C300" s="310"/>
      <c r="D300" s="310"/>
      <c r="E300" s="310"/>
      <c r="F300" s="310"/>
      <c r="G300" s="310"/>
      <c r="H300" s="310"/>
    </row>
    <row r="301" spans="1:8" ht="12.75">
      <c r="A301" s="626"/>
      <c r="B301" s="310"/>
      <c r="C301" s="310"/>
      <c r="D301" s="310"/>
      <c r="E301" s="310"/>
      <c r="F301" s="310"/>
      <c r="G301" s="310"/>
      <c r="H301" s="310"/>
    </row>
    <row r="302" spans="1:8" ht="12.75">
      <c r="A302" s="626"/>
      <c r="B302" s="310"/>
      <c r="C302" s="310"/>
      <c r="D302" s="310"/>
      <c r="E302" s="310"/>
      <c r="F302" s="310"/>
      <c r="G302" s="310"/>
      <c r="H302" s="310"/>
    </row>
    <row r="303" spans="1:8" ht="12.75">
      <c r="A303" s="626"/>
      <c r="B303" s="310"/>
      <c r="C303" s="310"/>
      <c r="D303" s="310"/>
      <c r="E303" s="310"/>
      <c r="F303" s="310"/>
      <c r="G303" s="310"/>
      <c r="H303" s="310"/>
    </row>
    <row r="304" spans="1:8" ht="12.75">
      <c r="A304" s="626"/>
      <c r="B304" s="310"/>
      <c r="C304" s="310"/>
      <c r="D304" s="310"/>
      <c r="E304" s="310"/>
      <c r="F304" s="310"/>
      <c r="G304" s="310"/>
      <c r="H304" s="310"/>
    </row>
    <row r="305" spans="1:8" ht="12.75">
      <c r="A305" s="626"/>
      <c r="B305" s="310"/>
      <c r="C305" s="310"/>
      <c r="D305" s="310"/>
      <c r="E305" s="310"/>
      <c r="F305" s="310"/>
      <c r="G305" s="310"/>
      <c r="H305" s="310"/>
    </row>
    <row r="306" spans="1:8" ht="12.75">
      <c r="A306" s="626"/>
      <c r="B306" s="310"/>
      <c r="C306" s="310"/>
      <c r="D306" s="310"/>
      <c r="E306" s="310"/>
      <c r="F306" s="310"/>
      <c r="G306" s="310"/>
      <c r="H306" s="310"/>
    </row>
    <row r="307" spans="1:8" ht="12.75">
      <c r="A307" s="626"/>
      <c r="B307" s="310"/>
      <c r="C307" s="310"/>
      <c r="D307" s="310"/>
      <c r="E307" s="310"/>
      <c r="F307" s="310"/>
      <c r="G307" s="310"/>
      <c r="H307" s="310"/>
    </row>
    <row r="308" spans="1:8" ht="12.75">
      <c r="A308" s="626"/>
      <c r="B308" s="310"/>
      <c r="C308" s="310"/>
      <c r="D308" s="310"/>
      <c r="E308" s="310"/>
      <c r="F308" s="310"/>
      <c r="G308" s="310"/>
      <c r="H308" s="310"/>
    </row>
    <row r="309" spans="1:8" ht="12.75">
      <c r="A309" s="626"/>
      <c r="B309" s="310"/>
      <c r="C309" s="310"/>
      <c r="D309" s="310"/>
      <c r="E309" s="310"/>
      <c r="F309" s="310"/>
      <c r="G309" s="310"/>
      <c r="H309" s="310"/>
    </row>
    <row r="310" spans="1:8" ht="12.75">
      <c r="A310" s="626"/>
      <c r="B310" s="310"/>
      <c r="C310" s="310"/>
      <c r="D310" s="310"/>
      <c r="E310" s="310"/>
      <c r="F310" s="310"/>
      <c r="G310" s="310"/>
      <c r="H310" s="310"/>
    </row>
    <row r="311" spans="1:8" ht="12.75">
      <c r="A311" s="626"/>
      <c r="B311" s="310"/>
      <c r="C311" s="310"/>
      <c r="D311" s="310"/>
      <c r="E311" s="310"/>
      <c r="F311" s="310"/>
      <c r="G311" s="310"/>
      <c r="H311" s="310"/>
    </row>
    <row r="312" spans="1:8" ht="12.75">
      <c r="A312" s="626"/>
      <c r="B312" s="310"/>
      <c r="C312" s="310"/>
      <c r="D312" s="310"/>
      <c r="E312" s="310"/>
      <c r="F312" s="310"/>
      <c r="G312" s="310"/>
      <c r="H312" s="310"/>
    </row>
    <row r="313" spans="1:8" ht="12.75">
      <c r="A313" s="626"/>
      <c r="B313" s="310"/>
      <c r="C313" s="310"/>
      <c r="D313" s="310"/>
      <c r="E313" s="310"/>
      <c r="F313" s="310"/>
      <c r="G313" s="310"/>
      <c r="H313" s="310"/>
    </row>
    <row r="314" spans="1:8" ht="12.75">
      <c r="A314" s="626"/>
      <c r="B314" s="310"/>
      <c r="C314" s="310"/>
      <c r="D314" s="310"/>
      <c r="E314" s="310"/>
      <c r="F314" s="310"/>
      <c r="G314" s="310"/>
      <c r="H314" s="310"/>
    </row>
    <row r="315" spans="1:8" ht="12.75">
      <c r="A315" s="626"/>
      <c r="B315" s="310"/>
      <c r="C315" s="310"/>
      <c r="D315" s="310"/>
      <c r="E315" s="310"/>
      <c r="F315" s="310"/>
      <c r="G315" s="310"/>
      <c r="H315" s="310"/>
    </row>
    <row r="316" spans="1:8" ht="12.75">
      <c r="A316" s="626"/>
      <c r="B316" s="310"/>
      <c r="C316" s="310"/>
      <c r="D316" s="310"/>
      <c r="E316" s="310"/>
      <c r="F316" s="310"/>
      <c r="G316" s="310"/>
      <c r="H316" s="310"/>
    </row>
    <row r="317" spans="1:8" ht="12.75">
      <c r="A317" s="626"/>
      <c r="B317" s="310"/>
      <c r="C317" s="310"/>
      <c r="D317" s="310"/>
      <c r="E317" s="310"/>
      <c r="F317" s="310"/>
      <c r="G317" s="310"/>
      <c r="H317" s="310"/>
    </row>
    <row r="318" spans="1:8" ht="12.75">
      <c r="A318" s="626"/>
      <c r="B318" s="310"/>
      <c r="C318" s="310"/>
      <c r="D318" s="310"/>
      <c r="E318" s="310"/>
      <c r="F318" s="310"/>
      <c r="G318" s="310"/>
      <c r="H318" s="310"/>
    </row>
    <row r="319" spans="1:8" ht="12.75">
      <c r="A319" s="626"/>
      <c r="B319" s="310"/>
      <c r="C319" s="310"/>
      <c r="D319" s="310"/>
      <c r="E319" s="310"/>
      <c r="F319" s="310"/>
      <c r="G319" s="310"/>
      <c r="H319" s="310"/>
    </row>
    <row r="320" spans="1:8" ht="12.75">
      <c r="A320" s="626"/>
      <c r="B320" s="310"/>
      <c r="C320" s="310"/>
      <c r="D320" s="310"/>
      <c r="E320" s="310"/>
      <c r="F320" s="310"/>
      <c r="G320" s="310"/>
      <c r="H320" s="310"/>
    </row>
    <row r="321" spans="1:8" ht="12.75">
      <c r="A321" s="626"/>
      <c r="B321" s="310"/>
      <c r="C321" s="310"/>
      <c r="D321" s="310"/>
      <c r="E321" s="310"/>
      <c r="F321" s="310"/>
      <c r="G321" s="310"/>
      <c r="H321" s="310"/>
    </row>
    <row r="322" spans="1:8" ht="12.75">
      <c r="A322" s="626"/>
      <c r="B322" s="310"/>
      <c r="C322" s="310"/>
      <c r="D322" s="310"/>
      <c r="E322" s="310"/>
      <c r="F322" s="310"/>
      <c r="G322" s="310"/>
      <c r="H322" s="310"/>
    </row>
    <row r="323" spans="1:8" ht="12.75">
      <c r="A323" s="626"/>
      <c r="B323" s="310"/>
      <c r="C323" s="310"/>
      <c r="D323" s="310"/>
      <c r="E323" s="310"/>
      <c r="F323" s="310"/>
      <c r="G323" s="310"/>
      <c r="H323" s="310"/>
    </row>
    <row r="324" spans="1:8" ht="12.75">
      <c r="A324" s="626"/>
      <c r="B324" s="310"/>
      <c r="C324" s="310"/>
      <c r="D324" s="310"/>
      <c r="E324" s="310"/>
      <c r="F324" s="310"/>
      <c r="G324" s="310"/>
      <c r="H324" s="310"/>
    </row>
    <row r="325" spans="1:8" ht="12.75">
      <c r="A325" s="626"/>
      <c r="B325" s="310"/>
      <c r="C325" s="310"/>
      <c r="D325" s="310"/>
      <c r="E325" s="310"/>
      <c r="F325" s="310"/>
      <c r="G325" s="310"/>
      <c r="H325" s="310"/>
    </row>
    <row r="326" spans="1:8" ht="12.75">
      <c r="A326" s="626"/>
      <c r="B326" s="310"/>
      <c r="C326" s="310"/>
      <c r="D326" s="310"/>
      <c r="E326" s="310"/>
      <c r="F326" s="310"/>
      <c r="G326" s="310"/>
      <c r="H326" s="310"/>
    </row>
    <row r="327" spans="1:8" ht="12.75">
      <c r="A327" s="626"/>
      <c r="B327" s="310"/>
      <c r="C327" s="310"/>
      <c r="D327" s="310"/>
      <c r="E327" s="310"/>
      <c r="F327" s="310"/>
      <c r="G327" s="310"/>
      <c r="H327" s="310"/>
    </row>
    <row r="328" spans="1:8" ht="12.75">
      <c r="A328" s="626"/>
      <c r="B328" s="310"/>
      <c r="C328" s="310"/>
      <c r="D328" s="310"/>
      <c r="E328" s="310"/>
      <c r="F328" s="310"/>
      <c r="G328" s="310"/>
      <c r="H328" s="310"/>
    </row>
    <row r="329" spans="1:8" ht="12.75">
      <c r="A329" s="626"/>
      <c r="B329" s="310"/>
      <c r="C329" s="310"/>
      <c r="D329" s="310"/>
      <c r="E329" s="310"/>
      <c r="F329" s="310"/>
      <c r="G329" s="310"/>
      <c r="H329" s="310"/>
    </row>
    <row r="330" spans="1:8" ht="12.75">
      <c r="A330" s="626"/>
      <c r="B330" s="310"/>
      <c r="C330" s="310"/>
      <c r="D330" s="310"/>
      <c r="E330" s="310"/>
      <c r="F330" s="310"/>
      <c r="G330" s="310"/>
      <c r="H330" s="310"/>
    </row>
    <row r="331" spans="1:8" ht="12.75">
      <c r="A331" s="626"/>
      <c r="B331" s="310"/>
      <c r="C331" s="310"/>
      <c r="D331" s="310"/>
      <c r="E331" s="310"/>
      <c r="F331" s="310"/>
      <c r="G331" s="310"/>
      <c r="H331" s="310"/>
    </row>
    <row r="332" spans="1:8" ht="12.75">
      <c r="A332" s="626"/>
      <c r="B332" s="310"/>
      <c r="C332" s="310"/>
      <c r="D332" s="310"/>
      <c r="E332" s="310"/>
      <c r="F332" s="310"/>
      <c r="G332" s="310"/>
      <c r="H332" s="310"/>
    </row>
    <row r="333" spans="1:8" ht="12.75">
      <c r="A333" s="626"/>
      <c r="B333" s="310"/>
      <c r="C333" s="310"/>
      <c r="D333" s="310"/>
      <c r="E333" s="310"/>
      <c r="F333" s="310"/>
      <c r="G333" s="310"/>
      <c r="H333" s="310"/>
    </row>
    <row r="334" spans="1:8" ht="12.75">
      <c r="A334" s="626"/>
      <c r="B334" s="310"/>
      <c r="C334" s="310"/>
      <c r="D334" s="310"/>
      <c r="E334" s="310"/>
      <c r="F334" s="310"/>
      <c r="G334" s="310"/>
      <c r="H334" s="310"/>
    </row>
    <row r="335" spans="1:8" ht="12.75">
      <c r="A335" s="626"/>
      <c r="B335" s="310"/>
      <c r="C335" s="310"/>
      <c r="D335" s="310"/>
      <c r="E335" s="310"/>
      <c r="F335" s="310"/>
      <c r="G335" s="310"/>
      <c r="H335" s="310"/>
    </row>
    <row r="336" spans="1:8" ht="12.75">
      <c r="A336" s="626"/>
      <c r="B336" s="310"/>
      <c r="C336" s="310"/>
      <c r="D336" s="310"/>
      <c r="E336" s="310"/>
      <c r="F336" s="310"/>
      <c r="G336" s="310"/>
      <c r="H336" s="310"/>
    </row>
    <row r="337" spans="1:8" ht="12.75">
      <c r="A337" s="626"/>
      <c r="B337" s="310"/>
      <c r="C337" s="310"/>
      <c r="D337" s="310"/>
      <c r="E337" s="310"/>
      <c r="F337" s="310"/>
      <c r="G337" s="310"/>
      <c r="H337" s="310"/>
    </row>
    <row r="338" spans="1:8" ht="12.75">
      <c r="A338" s="626"/>
      <c r="B338" s="310"/>
      <c r="C338" s="310"/>
      <c r="D338" s="310"/>
      <c r="E338" s="310"/>
      <c r="F338" s="310"/>
      <c r="G338" s="310"/>
      <c r="H338" s="310"/>
    </row>
    <row r="339" spans="1:8" ht="12.75">
      <c r="A339" s="626"/>
      <c r="B339" s="310"/>
      <c r="C339" s="310"/>
      <c r="D339" s="310"/>
      <c r="E339" s="310"/>
      <c r="F339" s="310"/>
      <c r="G339" s="310"/>
      <c r="H339" s="310"/>
    </row>
    <row r="340" spans="1:8" ht="12.75">
      <c r="A340" s="626"/>
      <c r="B340" s="310"/>
      <c r="C340" s="310"/>
      <c r="D340" s="310"/>
      <c r="E340" s="310"/>
      <c r="F340" s="310"/>
      <c r="G340" s="310"/>
      <c r="H340" s="310"/>
    </row>
    <row r="341" spans="1:8" ht="12.75">
      <c r="A341" s="626"/>
      <c r="B341" s="310"/>
      <c r="C341" s="310"/>
      <c r="D341" s="310"/>
      <c r="E341" s="310"/>
      <c r="F341" s="310"/>
      <c r="G341" s="310"/>
      <c r="H341" s="310"/>
    </row>
    <row r="342" spans="1:8" ht="12.75">
      <c r="A342" s="626"/>
      <c r="B342" s="310"/>
      <c r="C342" s="310"/>
      <c r="D342" s="310"/>
      <c r="E342" s="310"/>
      <c r="F342" s="310"/>
      <c r="G342" s="310"/>
      <c r="H342" s="310"/>
    </row>
    <row r="343" spans="1:8" ht="12.75">
      <c r="A343" s="626"/>
      <c r="B343" s="310"/>
      <c r="C343" s="310"/>
      <c r="D343" s="310"/>
      <c r="E343" s="310"/>
      <c r="F343" s="310"/>
      <c r="G343" s="310"/>
      <c r="H343" s="310"/>
    </row>
    <row r="344" spans="1:8" ht="12.75">
      <c r="A344" s="626"/>
      <c r="B344" s="310"/>
      <c r="C344" s="310"/>
      <c r="D344" s="310"/>
      <c r="E344" s="310"/>
      <c r="F344" s="310"/>
      <c r="G344" s="310"/>
      <c r="H344" s="310"/>
    </row>
    <row r="345" spans="1:8" ht="12.75">
      <c r="A345" s="626"/>
      <c r="B345" s="310"/>
      <c r="C345" s="310"/>
      <c r="D345" s="310"/>
      <c r="E345" s="310"/>
      <c r="F345" s="310"/>
      <c r="G345" s="310"/>
      <c r="H345" s="310"/>
    </row>
    <row r="346" spans="1:8" ht="12.75">
      <c r="A346" s="626"/>
      <c r="B346" s="310"/>
      <c r="C346" s="310"/>
      <c r="D346" s="310"/>
      <c r="E346" s="310"/>
      <c r="F346" s="310"/>
      <c r="G346" s="310"/>
      <c r="H346" s="310"/>
    </row>
    <row r="347" spans="1:8" ht="12.75">
      <c r="A347" s="626"/>
      <c r="B347" s="310"/>
      <c r="C347" s="310"/>
      <c r="D347" s="310"/>
      <c r="E347" s="310"/>
      <c r="F347" s="310"/>
      <c r="G347" s="310"/>
      <c r="H347" s="310"/>
    </row>
    <row r="348" spans="1:8" ht="12.75">
      <c r="A348" s="626"/>
      <c r="B348" s="310"/>
      <c r="C348" s="310"/>
      <c r="D348" s="310"/>
      <c r="E348" s="310"/>
      <c r="F348" s="310"/>
      <c r="G348" s="310"/>
      <c r="H348" s="310"/>
    </row>
    <row r="349" spans="1:8" ht="12.75">
      <c r="A349" s="626"/>
      <c r="B349" s="310"/>
      <c r="C349" s="310"/>
      <c r="D349" s="310"/>
      <c r="E349" s="310"/>
      <c r="F349" s="310"/>
      <c r="G349" s="310"/>
      <c r="H349" s="310"/>
    </row>
    <row r="350" spans="1:8" ht="12.75">
      <c r="A350" s="626"/>
      <c r="B350" s="310"/>
      <c r="C350" s="310"/>
      <c r="D350" s="310"/>
      <c r="E350" s="310"/>
      <c r="F350" s="310"/>
      <c r="G350" s="310"/>
      <c r="H350" s="310"/>
    </row>
    <row r="351" spans="1:8" ht="12.75">
      <c r="A351" s="626"/>
      <c r="B351" s="310"/>
      <c r="C351" s="310"/>
      <c r="D351" s="310"/>
      <c r="E351" s="310"/>
      <c r="F351" s="310"/>
      <c r="G351" s="310"/>
      <c r="H351" s="310"/>
    </row>
    <row r="352" spans="1:8" ht="12.75">
      <c r="A352" s="626"/>
      <c r="B352" s="310"/>
      <c r="C352" s="310"/>
      <c r="D352" s="310"/>
      <c r="E352" s="310"/>
      <c r="F352" s="310"/>
      <c r="G352" s="310"/>
      <c r="H352" s="310"/>
    </row>
    <row r="353" spans="1:8" ht="12.75">
      <c r="A353" s="626"/>
      <c r="B353" s="310"/>
      <c r="C353" s="310"/>
      <c r="D353" s="310"/>
      <c r="E353" s="310"/>
      <c r="F353" s="310"/>
      <c r="G353" s="310"/>
      <c r="H353" s="310"/>
    </row>
    <row r="354" spans="1:8" ht="12.75">
      <c r="A354" s="626"/>
      <c r="B354" s="310"/>
      <c r="C354" s="310"/>
      <c r="D354" s="310"/>
      <c r="E354" s="310"/>
      <c r="F354" s="310"/>
      <c r="G354" s="310"/>
      <c r="H354" s="310"/>
    </row>
    <row r="355" spans="1:8" ht="12.75">
      <c r="A355" s="626"/>
      <c r="B355" s="310"/>
      <c r="C355" s="310"/>
      <c r="D355" s="310"/>
      <c r="E355" s="310"/>
      <c r="F355" s="310"/>
      <c r="G355" s="310"/>
      <c r="H355" s="310"/>
    </row>
    <row r="356" spans="1:8" ht="12.75">
      <c r="A356" s="626"/>
      <c r="B356" s="310"/>
      <c r="C356" s="310"/>
      <c r="D356" s="310"/>
      <c r="E356" s="310"/>
      <c r="F356" s="310"/>
      <c r="G356" s="310"/>
      <c r="H356" s="310"/>
    </row>
    <row r="357" spans="1:8" ht="12.75">
      <c r="A357" s="626"/>
      <c r="B357" s="310"/>
      <c r="C357" s="310"/>
      <c r="D357" s="310"/>
      <c r="E357" s="310"/>
      <c r="F357" s="310"/>
      <c r="G357" s="310"/>
      <c r="H357" s="310"/>
    </row>
    <row r="358" spans="1:8" ht="12.75">
      <c r="A358" s="626"/>
      <c r="B358" s="310"/>
      <c r="C358" s="310"/>
      <c r="D358" s="310"/>
      <c r="E358" s="310"/>
      <c r="F358" s="310"/>
      <c r="G358" s="310"/>
      <c r="H358" s="310"/>
    </row>
    <row r="359" spans="1:8" ht="12.75">
      <c r="A359" s="626"/>
      <c r="B359" s="310"/>
      <c r="C359" s="310"/>
      <c r="D359" s="310"/>
      <c r="E359" s="310"/>
      <c r="F359" s="310"/>
      <c r="G359" s="310"/>
      <c r="H359" s="310"/>
    </row>
    <row r="360" spans="1:8" ht="12.75">
      <c r="A360" s="626"/>
      <c r="B360" s="310"/>
      <c r="C360" s="310"/>
      <c r="D360" s="310"/>
      <c r="E360" s="310"/>
      <c r="F360" s="310"/>
      <c r="G360" s="310"/>
      <c r="H360" s="310"/>
    </row>
    <row r="361" spans="1:8" ht="12.75">
      <c r="A361" s="626"/>
      <c r="B361" s="310"/>
      <c r="C361" s="310"/>
      <c r="D361" s="310"/>
      <c r="E361" s="310"/>
      <c r="F361" s="310"/>
      <c r="G361" s="310"/>
      <c r="H361" s="310"/>
    </row>
    <row r="362" spans="1:8" ht="12.75">
      <c r="A362" s="626"/>
      <c r="B362" s="310"/>
      <c r="C362" s="310"/>
      <c r="D362" s="310"/>
      <c r="E362" s="310"/>
      <c r="F362" s="310"/>
      <c r="G362" s="310"/>
      <c r="H362" s="310"/>
    </row>
    <row r="363" spans="1:8" ht="12.75">
      <c r="A363" s="626"/>
      <c r="B363" s="310"/>
      <c r="C363" s="310"/>
      <c r="D363" s="310"/>
      <c r="E363" s="310"/>
      <c r="F363" s="310"/>
      <c r="G363" s="310"/>
      <c r="H363" s="310"/>
    </row>
    <row r="364" spans="1:8" ht="12.75">
      <c r="A364" s="626"/>
      <c r="B364" s="310"/>
      <c r="C364" s="310"/>
      <c r="D364" s="310"/>
      <c r="E364" s="310"/>
      <c r="F364" s="310"/>
      <c r="G364" s="310"/>
      <c r="H364" s="310"/>
    </row>
    <row r="365" spans="1:8" ht="12.75">
      <c r="A365" s="626"/>
      <c r="B365" s="310"/>
      <c r="C365" s="310"/>
      <c r="D365" s="310"/>
      <c r="E365" s="310"/>
      <c r="F365" s="310"/>
      <c r="G365" s="310"/>
      <c r="H365" s="310"/>
    </row>
    <row r="366" spans="1:8" ht="12.75">
      <c r="A366" s="626"/>
      <c r="B366" s="310"/>
      <c r="C366" s="310"/>
      <c r="D366" s="310"/>
      <c r="E366" s="310"/>
      <c r="F366" s="310"/>
      <c r="G366" s="310"/>
      <c r="H366" s="310"/>
    </row>
    <row r="367" spans="1:8" ht="12.75">
      <c r="A367" s="626"/>
      <c r="B367" s="310"/>
      <c r="C367" s="310"/>
      <c r="D367" s="310"/>
      <c r="E367" s="310"/>
      <c r="F367" s="310"/>
      <c r="G367" s="310"/>
      <c r="H367" s="310"/>
    </row>
    <row r="368" spans="1:8" ht="12.75">
      <c r="A368" s="626"/>
      <c r="B368" s="310"/>
      <c r="C368" s="310"/>
      <c r="D368" s="310"/>
      <c r="E368" s="310"/>
      <c r="F368" s="310"/>
      <c r="G368" s="310"/>
      <c r="H368" s="310"/>
    </row>
    <row r="369" spans="1:8" ht="12.75">
      <c r="A369" s="626"/>
      <c r="B369" s="310"/>
      <c r="C369" s="310"/>
      <c r="D369" s="310"/>
      <c r="E369" s="310"/>
      <c r="F369" s="310"/>
      <c r="G369" s="310"/>
      <c r="H369" s="310"/>
    </row>
    <row r="370" spans="1:8" ht="12.75">
      <c r="A370" s="626"/>
      <c r="B370" s="310"/>
      <c r="C370" s="310"/>
      <c r="D370" s="310"/>
      <c r="E370" s="310"/>
      <c r="F370" s="310"/>
      <c r="G370" s="310"/>
      <c r="H370" s="310"/>
    </row>
    <row r="371" spans="1:8" ht="12.75">
      <c r="A371" s="626"/>
      <c r="B371" s="310"/>
      <c r="C371" s="310"/>
      <c r="D371" s="310"/>
      <c r="E371" s="310"/>
      <c r="F371" s="310"/>
      <c r="G371" s="310"/>
      <c r="H371" s="310"/>
    </row>
    <row r="372" spans="1:8" ht="12.75">
      <c r="A372" s="626"/>
      <c r="B372" s="310"/>
      <c r="C372" s="310"/>
      <c r="D372" s="310"/>
      <c r="E372" s="310"/>
      <c r="F372" s="310"/>
      <c r="G372" s="310"/>
      <c r="H372" s="310"/>
    </row>
    <row r="373" spans="1:8" ht="12.75">
      <c r="A373" s="626"/>
      <c r="B373" s="310"/>
      <c r="C373" s="310"/>
      <c r="D373" s="310"/>
      <c r="E373" s="310"/>
      <c r="F373" s="310"/>
      <c r="G373" s="310"/>
      <c r="H373" s="310"/>
    </row>
    <row r="374" spans="1:8" ht="12.75">
      <c r="A374" s="626"/>
      <c r="B374" s="310"/>
      <c r="C374" s="310"/>
      <c r="D374" s="310"/>
      <c r="E374" s="310"/>
      <c r="F374" s="310"/>
      <c r="G374" s="310"/>
      <c r="H374" s="310"/>
    </row>
    <row r="375" spans="1:8" ht="12.75">
      <c r="A375" s="626"/>
      <c r="B375" s="310"/>
      <c r="C375" s="310"/>
      <c r="D375" s="310"/>
      <c r="E375" s="310"/>
      <c r="F375" s="310"/>
      <c r="G375" s="310"/>
      <c r="H375" s="310"/>
    </row>
    <row r="376" spans="1:8" ht="12.75">
      <c r="A376" s="626"/>
      <c r="B376" s="310"/>
      <c r="C376" s="310"/>
      <c r="D376" s="310"/>
      <c r="E376" s="310"/>
      <c r="F376" s="310"/>
      <c r="G376" s="310"/>
      <c r="H376" s="310"/>
    </row>
    <row r="377" spans="1:8" ht="12.75">
      <c r="A377" s="626"/>
      <c r="B377" s="310"/>
      <c r="C377" s="310"/>
      <c r="D377" s="310"/>
      <c r="E377" s="310"/>
      <c r="F377" s="310"/>
      <c r="G377" s="310"/>
      <c r="H377" s="310"/>
    </row>
    <row r="378" spans="1:8" ht="12.75">
      <c r="A378" s="626"/>
      <c r="B378" s="310"/>
      <c r="C378" s="310"/>
      <c r="D378" s="310"/>
      <c r="E378" s="310"/>
      <c r="F378" s="310"/>
      <c r="G378" s="310"/>
      <c r="H378" s="310"/>
    </row>
    <row r="379" spans="1:8" ht="12.75">
      <c r="A379" s="626"/>
      <c r="B379" s="310"/>
      <c r="C379" s="310"/>
      <c r="D379" s="310"/>
      <c r="E379" s="310"/>
      <c r="F379" s="310"/>
      <c r="G379" s="310"/>
      <c r="H379" s="310"/>
    </row>
    <row r="380" spans="1:8" ht="12.75">
      <c r="A380" s="626"/>
      <c r="B380" s="310"/>
      <c r="C380" s="310"/>
      <c r="D380" s="310"/>
      <c r="E380" s="310"/>
      <c r="F380" s="310"/>
      <c r="G380" s="310"/>
      <c r="H380" s="310"/>
    </row>
    <row r="381" spans="1:8" ht="12.75">
      <c r="A381" s="626"/>
      <c r="B381" s="310"/>
      <c r="C381" s="310"/>
      <c r="D381" s="310"/>
      <c r="E381" s="310"/>
      <c r="F381" s="310"/>
      <c r="G381" s="310"/>
      <c r="H381" s="310"/>
    </row>
    <row r="382" spans="1:8" ht="12.75">
      <c r="A382" s="626"/>
      <c r="B382" s="310"/>
      <c r="C382" s="310"/>
      <c r="D382" s="310"/>
      <c r="E382" s="310"/>
      <c r="F382" s="310"/>
      <c r="G382" s="310"/>
      <c r="H382" s="310"/>
    </row>
    <row r="383" spans="1:8" ht="12.75">
      <c r="A383" s="626"/>
      <c r="B383" s="310"/>
      <c r="C383" s="310"/>
      <c r="D383" s="310"/>
      <c r="E383" s="310"/>
      <c r="F383" s="310"/>
      <c r="G383" s="310"/>
      <c r="H383" s="310"/>
    </row>
    <row r="384" spans="1:8" ht="12.75">
      <c r="A384" s="626"/>
      <c r="B384" s="310"/>
      <c r="C384" s="310"/>
      <c r="D384" s="310"/>
      <c r="E384" s="310"/>
      <c r="F384" s="310"/>
      <c r="G384" s="310"/>
      <c r="H384" s="310"/>
    </row>
    <row r="385" spans="1:8" ht="12.75">
      <c r="A385" s="626"/>
      <c r="B385" s="310"/>
      <c r="C385" s="310"/>
      <c r="D385" s="310"/>
      <c r="E385" s="310"/>
      <c r="F385" s="310"/>
      <c r="G385" s="310"/>
      <c r="H385" s="310"/>
    </row>
    <row r="386" spans="1:8" ht="12.75">
      <c r="A386" s="626"/>
      <c r="B386" s="310"/>
      <c r="C386" s="310"/>
      <c r="D386" s="310"/>
      <c r="E386" s="310"/>
      <c r="F386" s="310"/>
      <c r="G386" s="310"/>
      <c r="H386" s="310"/>
    </row>
    <row r="387" spans="1:8" ht="12.75">
      <c r="A387" s="626"/>
      <c r="B387" s="310"/>
      <c r="C387" s="310"/>
      <c r="D387" s="310"/>
      <c r="E387" s="310"/>
      <c r="F387" s="310"/>
      <c r="G387" s="310"/>
      <c r="H387" s="310"/>
    </row>
    <row r="388" spans="1:8" ht="12.75">
      <c r="A388" s="626"/>
      <c r="B388" s="310"/>
      <c r="C388" s="310"/>
      <c r="D388" s="310"/>
      <c r="E388" s="310"/>
      <c r="F388" s="310"/>
      <c r="G388" s="310"/>
      <c r="H388" s="310"/>
    </row>
    <row r="389" spans="1:8" ht="12.75">
      <c r="A389" s="626"/>
      <c r="B389" s="310"/>
      <c r="C389" s="310"/>
      <c r="D389" s="310"/>
      <c r="E389" s="310"/>
      <c r="F389" s="310"/>
      <c r="G389" s="310"/>
      <c r="H389" s="310"/>
    </row>
    <row r="390" spans="1:8" ht="12.75">
      <c r="A390" s="626"/>
      <c r="B390" s="310"/>
      <c r="C390" s="310"/>
      <c r="D390" s="310"/>
      <c r="E390" s="310"/>
      <c r="F390" s="310"/>
      <c r="G390" s="310"/>
      <c r="H390" s="310"/>
    </row>
    <row r="391" spans="1:8" ht="12.75">
      <c r="A391" s="626"/>
      <c r="B391" s="310"/>
      <c r="C391" s="310"/>
      <c r="D391" s="310"/>
      <c r="E391" s="310"/>
      <c r="F391" s="310"/>
      <c r="G391" s="310"/>
      <c r="H391" s="310"/>
    </row>
    <row r="392" spans="1:8" ht="12.75">
      <c r="A392" s="626"/>
      <c r="B392" s="310"/>
      <c r="C392" s="310"/>
      <c r="D392" s="310"/>
      <c r="E392" s="310"/>
      <c r="F392" s="310"/>
      <c r="G392" s="310"/>
      <c r="H392" s="310"/>
    </row>
    <row r="393" spans="1:8" ht="12.75">
      <c r="A393" s="626"/>
      <c r="B393" s="310"/>
      <c r="C393" s="310"/>
      <c r="D393" s="310"/>
      <c r="E393" s="310"/>
      <c r="F393" s="310"/>
      <c r="G393" s="310"/>
      <c r="H393" s="310"/>
    </row>
    <row r="394" spans="1:8" ht="12.75">
      <c r="A394" s="626"/>
      <c r="B394" s="310"/>
      <c r="C394" s="310"/>
      <c r="D394" s="310"/>
      <c r="E394" s="310"/>
      <c r="F394" s="310"/>
      <c r="G394" s="310"/>
      <c r="H394" s="310"/>
    </row>
    <row r="395" spans="1:8" ht="12.75">
      <c r="A395" s="626"/>
      <c r="B395" s="310"/>
      <c r="C395" s="310"/>
      <c r="D395" s="310"/>
      <c r="E395" s="310"/>
      <c r="F395" s="310"/>
      <c r="G395" s="310"/>
      <c r="H395" s="310"/>
    </row>
    <row r="396" spans="1:8" ht="12.75">
      <c r="A396" s="626"/>
      <c r="B396" s="310"/>
      <c r="C396" s="310"/>
      <c r="D396" s="310"/>
      <c r="E396" s="310"/>
      <c r="F396" s="310"/>
      <c r="G396" s="310"/>
      <c r="H396" s="310"/>
    </row>
    <row r="397" spans="1:8" ht="12.75">
      <c r="A397" s="626"/>
      <c r="B397" s="310"/>
      <c r="C397" s="310"/>
      <c r="D397" s="310"/>
      <c r="E397" s="310"/>
      <c r="F397" s="310"/>
      <c r="G397" s="310"/>
      <c r="H397" s="310"/>
    </row>
    <row r="398" spans="1:8" ht="12.75">
      <c r="A398" s="626"/>
      <c r="B398" s="310"/>
      <c r="C398" s="310"/>
      <c r="D398" s="310"/>
      <c r="E398" s="310"/>
      <c r="F398" s="310"/>
      <c r="G398" s="310"/>
      <c r="H398" s="310"/>
    </row>
    <row r="399" spans="1:8" ht="12.75">
      <c r="A399" s="626"/>
      <c r="B399" s="310"/>
      <c r="C399" s="310"/>
      <c r="D399" s="310"/>
      <c r="E399" s="310"/>
      <c r="F399" s="310"/>
      <c r="G399" s="310"/>
      <c r="H399" s="310"/>
    </row>
    <row r="400" spans="1:8" ht="12.75">
      <c r="A400" s="626"/>
      <c r="B400" s="310"/>
      <c r="C400" s="310"/>
      <c r="D400" s="310"/>
      <c r="E400" s="310"/>
      <c r="F400" s="310"/>
      <c r="G400" s="310"/>
      <c r="H400" s="310"/>
    </row>
    <row r="401" spans="1:8" ht="12.75">
      <c r="A401" s="626"/>
      <c r="B401" s="310"/>
      <c r="C401" s="310"/>
      <c r="D401" s="310"/>
      <c r="E401" s="310"/>
      <c r="F401" s="310"/>
      <c r="G401" s="310"/>
      <c r="H401" s="310"/>
    </row>
    <row r="402" spans="1:8" ht="12.75">
      <c r="A402" s="626"/>
      <c r="B402" s="310"/>
      <c r="C402" s="310"/>
      <c r="D402" s="310"/>
      <c r="E402" s="310"/>
      <c r="F402" s="310"/>
      <c r="G402" s="310"/>
      <c r="H402" s="310"/>
    </row>
    <row r="403" spans="1:8" ht="12.75">
      <c r="A403" s="626"/>
      <c r="B403" s="310"/>
      <c r="C403" s="310"/>
      <c r="D403" s="310"/>
      <c r="E403" s="310"/>
      <c r="F403" s="310"/>
      <c r="G403" s="310"/>
      <c r="H403" s="310"/>
    </row>
    <row r="404" spans="1:8" ht="12.75">
      <c r="A404" s="626"/>
      <c r="B404" s="310"/>
      <c r="C404" s="310"/>
      <c r="D404" s="310"/>
      <c r="E404" s="310"/>
      <c r="F404" s="310"/>
      <c r="G404" s="310"/>
      <c r="H404" s="310"/>
    </row>
    <row r="405" spans="1:8" ht="12.75">
      <c r="A405" s="626"/>
      <c r="B405" s="310"/>
      <c r="C405" s="310"/>
      <c r="D405" s="310"/>
      <c r="E405" s="310"/>
      <c r="F405" s="310"/>
      <c r="G405" s="310"/>
      <c r="H405" s="310"/>
    </row>
    <row r="406" spans="1:8" ht="12.75">
      <c r="A406" s="626"/>
      <c r="B406" s="310"/>
      <c r="C406" s="310"/>
      <c r="D406" s="310"/>
      <c r="E406" s="310"/>
      <c r="F406" s="310"/>
      <c r="G406" s="310"/>
      <c r="H406" s="310"/>
    </row>
    <row r="407" spans="1:8" ht="12.75">
      <c r="A407" s="626"/>
      <c r="B407" s="310"/>
      <c r="C407" s="310"/>
      <c r="D407" s="310"/>
      <c r="E407" s="310"/>
      <c r="F407" s="310"/>
      <c r="G407" s="310"/>
      <c r="H407" s="310"/>
    </row>
    <row r="408" spans="1:8" ht="12.75">
      <c r="A408" s="626"/>
      <c r="B408" s="310"/>
      <c r="C408" s="310"/>
      <c r="D408" s="310"/>
      <c r="E408" s="310"/>
      <c r="F408" s="310"/>
      <c r="G408" s="310"/>
      <c r="H408" s="310"/>
    </row>
    <row r="409" spans="1:8" ht="12.75">
      <c r="A409" s="626"/>
      <c r="B409" s="310"/>
      <c r="C409" s="310"/>
      <c r="D409" s="310"/>
      <c r="E409" s="310"/>
      <c r="F409" s="310"/>
      <c r="G409" s="310"/>
      <c r="H409" s="310"/>
    </row>
    <row r="410" spans="1:8" ht="12.75">
      <c r="A410" s="626"/>
      <c r="B410" s="310"/>
      <c r="C410" s="310"/>
      <c r="D410" s="310"/>
      <c r="E410" s="310"/>
      <c r="F410" s="310"/>
      <c r="G410" s="310"/>
      <c r="H410" s="310"/>
    </row>
    <row r="411" spans="1:8" ht="12.75">
      <c r="A411" s="626"/>
      <c r="B411" s="310"/>
      <c r="C411" s="310"/>
      <c r="D411" s="310"/>
      <c r="E411" s="310"/>
      <c r="F411" s="310"/>
      <c r="G411" s="310"/>
      <c r="H411" s="310"/>
    </row>
    <row r="412" spans="1:8" ht="12.75">
      <c r="A412" s="626"/>
      <c r="B412" s="310"/>
      <c r="C412" s="310"/>
      <c r="D412" s="310"/>
      <c r="E412" s="310"/>
      <c r="F412" s="310"/>
      <c r="G412" s="310"/>
      <c r="H412" s="310"/>
    </row>
    <row r="413" spans="1:8" ht="12.75">
      <c r="A413" s="626"/>
      <c r="B413" s="310"/>
      <c r="C413" s="310"/>
      <c r="D413" s="310"/>
      <c r="E413" s="310"/>
      <c r="F413" s="310"/>
      <c r="G413" s="310"/>
      <c r="H413" s="310"/>
    </row>
    <row r="414" spans="1:8" ht="12.75">
      <c r="A414" s="626"/>
      <c r="B414" s="310"/>
      <c r="C414" s="310"/>
      <c r="D414" s="310"/>
      <c r="E414" s="310"/>
      <c r="F414" s="310"/>
      <c r="G414" s="310"/>
      <c r="H414" s="310"/>
    </row>
    <row r="415" spans="1:8" ht="12.75">
      <c r="A415" s="626"/>
      <c r="B415" s="310"/>
      <c r="C415" s="310"/>
      <c r="D415" s="310"/>
      <c r="E415" s="310"/>
      <c r="F415" s="310"/>
      <c r="G415" s="310"/>
      <c r="H415" s="310"/>
    </row>
    <row r="416" spans="1:8" ht="12.75">
      <c r="A416" s="626"/>
      <c r="B416" s="310"/>
      <c r="C416" s="310"/>
      <c r="D416" s="310"/>
      <c r="E416" s="310"/>
      <c r="F416" s="310"/>
      <c r="G416" s="310"/>
      <c r="H416" s="310"/>
    </row>
    <row r="417" spans="1:8" ht="12.75">
      <c r="A417" s="626"/>
      <c r="B417" s="310"/>
      <c r="C417" s="310"/>
      <c r="D417" s="310"/>
      <c r="E417" s="310"/>
      <c r="F417" s="310"/>
      <c r="G417" s="310"/>
      <c r="H417" s="310"/>
    </row>
    <row r="418" spans="1:8" ht="12.75">
      <c r="A418" s="626"/>
      <c r="B418" s="310"/>
      <c r="C418" s="310"/>
      <c r="D418" s="310"/>
      <c r="E418" s="310"/>
      <c r="F418" s="310"/>
      <c r="G418" s="310"/>
      <c r="H418" s="310"/>
    </row>
    <row r="419" spans="1:8" ht="12.75">
      <c r="A419" s="626"/>
      <c r="B419" s="310"/>
      <c r="C419" s="310"/>
      <c r="D419" s="310"/>
      <c r="E419" s="310"/>
      <c r="F419" s="310"/>
      <c r="G419" s="310"/>
      <c r="H419" s="310"/>
    </row>
    <row r="420" spans="1:8" ht="12.75">
      <c r="A420" s="626"/>
      <c r="B420" s="310"/>
      <c r="C420" s="310"/>
      <c r="D420" s="310"/>
      <c r="E420" s="310"/>
      <c r="F420" s="310"/>
      <c r="G420" s="310"/>
      <c r="H420" s="310"/>
    </row>
    <row r="421" spans="1:8" ht="12.75">
      <c r="A421" s="626"/>
      <c r="B421" s="310"/>
      <c r="C421" s="310"/>
      <c r="D421" s="310"/>
      <c r="E421" s="310"/>
      <c r="F421" s="310"/>
      <c r="G421" s="310"/>
      <c r="H421" s="310"/>
    </row>
    <row r="422" spans="1:8" ht="12.75">
      <c r="A422" s="626"/>
      <c r="B422" s="310"/>
      <c r="C422" s="310"/>
      <c r="D422" s="310"/>
      <c r="E422" s="310"/>
      <c r="F422" s="310"/>
      <c r="G422" s="310"/>
      <c r="H422" s="310"/>
    </row>
    <row r="423" spans="1:8" ht="12.75">
      <c r="A423" s="626"/>
      <c r="B423" s="310"/>
      <c r="C423" s="310"/>
      <c r="D423" s="310"/>
      <c r="E423" s="310"/>
      <c r="F423" s="310"/>
      <c r="G423" s="310"/>
      <c r="H423" s="310"/>
    </row>
    <row r="424" spans="1:8" ht="12.75">
      <c r="A424" s="626"/>
      <c r="B424" s="310"/>
      <c r="C424" s="310"/>
      <c r="D424" s="310"/>
      <c r="E424" s="310"/>
      <c r="F424" s="310"/>
      <c r="G424" s="310"/>
      <c r="H424" s="310"/>
    </row>
    <row r="425" spans="1:8" ht="12.75">
      <c r="A425" s="626"/>
      <c r="B425" s="310"/>
      <c r="C425" s="310"/>
      <c r="D425" s="310"/>
      <c r="E425" s="310"/>
      <c r="F425" s="310"/>
      <c r="G425" s="310"/>
      <c r="H425" s="310"/>
    </row>
    <row r="426" spans="1:8" ht="12.75">
      <c r="A426" s="626"/>
      <c r="B426" s="310"/>
      <c r="C426" s="310"/>
      <c r="D426" s="310"/>
      <c r="E426" s="310"/>
      <c r="F426" s="310"/>
      <c r="G426" s="310"/>
      <c r="H426" s="310"/>
    </row>
    <row r="427" spans="1:8" ht="12.75">
      <c r="A427" s="626"/>
      <c r="B427" s="310"/>
      <c r="C427" s="310"/>
      <c r="D427" s="310"/>
      <c r="E427" s="310"/>
      <c r="F427" s="310"/>
      <c r="G427" s="310"/>
      <c r="H427" s="310"/>
    </row>
    <row r="428" spans="1:8" ht="12.75">
      <c r="A428" s="626"/>
      <c r="B428" s="310"/>
      <c r="C428" s="310"/>
      <c r="D428" s="310"/>
      <c r="E428" s="310"/>
      <c r="F428" s="310"/>
      <c r="G428" s="310"/>
      <c r="H428" s="310"/>
    </row>
    <row r="429" spans="1:8" ht="12.75">
      <c r="A429" s="626"/>
      <c r="B429" s="310"/>
      <c r="C429" s="310"/>
      <c r="D429" s="310"/>
      <c r="E429" s="310"/>
      <c r="F429" s="310"/>
      <c r="G429" s="310"/>
      <c r="H429" s="310"/>
    </row>
    <row r="430" spans="1:8" ht="12.75">
      <c r="A430" s="626"/>
      <c r="B430" s="310"/>
      <c r="C430" s="310"/>
      <c r="D430" s="310"/>
      <c r="E430" s="310"/>
      <c r="F430" s="310"/>
      <c r="G430" s="310"/>
      <c r="H430" s="310"/>
    </row>
    <row r="431" spans="1:8" ht="12.75">
      <c r="A431" s="626"/>
      <c r="B431" s="310"/>
      <c r="C431" s="310"/>
      <c r="D431" s="310"/>
      <c r="E431" s="310"/>
      <c r="F431" s="310"/>
      <c r="G431" s="310"/>
      <c r="H431" s="310"/>
    </row>
    <row r="432" spans="1:8" ht="12.75">
      <c r="A432" s="626"/>
      <c r="B432" s="310"/>
      <c r="C432" s="310"/>
      <c r="D432" s="310"/>
      <c r="E432" s="310"/>
      <c r="F432" s="310"/>
      <c r="G432" s="310"/>
      <c r="H432" s="310"/>
    </row>
    <row r="433" spans="1:8" ht="12.75">
      <c r="A433" s="626"/>
      <c r="B433" s="310"/>
      <c r="C433" s="310"/>
      <c r="D433" s="310"/>
      <c r="E433" s="310"/>
      <c r="F433" s="310"/>
      <c r="G433" s="310"/>
      <c r="H433" s="310"/>
    </row>
    <row r="434" spans="1:8" ht="12.75">
      <c r="A434" s="626"/>
      <c r="B434" s="310"/>
      <c r="C434" s="310"/>
      <c r="D434" s="310"/>
      <c r="E434" s="310"/>
      <c r="F434" s="310"/>
      <c r="G434" s="310"/>
      <c r="H434" s="310"/>
    </row>
    <row r="435" spans="1:8" ht="12.75">
      <c r="A435" s="626"/>
      <c r="B435" s="310"/>
      <c r="C435" s="310"/>
      <c r="D435" s="310"/>
      <c r="E435" s="310"/>
      <c r="F435" s="310"/>
      <c r="G435" s="310"/>
      <c r="H435" s="310"/>
    </row>
    <row r="436" spans="1:8" ht="12.75">
      <c r="A436" s="626"/>
      <c r="B436" s="310"/>
      <c r="C436" s="310"/>
      <c r="D436" s="310"/>
      <c r="E436" s="310"/>
      <c r="F436" s="310"/>
      <c r="G436" s="310"/>
      <c r="H436" s="310"/>
    </row>
    <row r="437" spans="1:8" ht="12.75">
      <c r="A437" s="626"/>
      <c r="B437" s="310"/>
      <c r="C437" s="310"/>
      <c r="D437" s="310"/>
      <c r="E437" s="310"/>
      <c r="F437" s="310"/>
      <c r="G437" s="310"/>
      <c r="H437" s="310"/>
    </row>
    <row r="438" spans="1:8" ht="12.75">
      <c r="A438" s="626"/>
      <c r="B438" s="310"/>
      <c r="C438" s="310"/>
      <c r="D438" s="310"/>
      <c r="E438" s="310"/>
      <c r="F438" s="310"/>
      <c r="G438" s="310"/>
      <c r="H438" s="310"/>
    </row>
    <row r="439" spans="1:8" ht="12.75">
      <c r="A439" s="626"/>
      <c r="B439" s="310"/>
      <c r="C439" s="310"/>
      <c r="D439" s="310"/>
      <c r="E439" s="310"/>
      <c r="F439" s="310"/>
      <c r="G439" s="310"/>
      <c r="H439" s="310"/>
    </row>
    <row r="440" spans="1:8" ht="12.75">
      <c r="A440" s="626"/>
      <c r="B440" s="310"/>
      <c r="C440" s="310"/>
      <c r="D440" s="310"/>
      <c r="E440" s="310"/>
      <c r="F440" s="310"/>
      <c r="G440" s="310"/>
      <c r="H440" s="310"/>
    </row>
    <row r="441" spans="1:8" ht="12.75">
      <c r="A441" s="626"/>
      <c r="B441" s="310"/>
      <c r="C441" s="310"/>
      <c r="D441" s="310"/>
      <c r="E441" s="310"/>
      <c r="F441" s="310"/>
      <c r="G441" s="310"/>
      <c r="H441" s="310"/>
    </row>
    <row r="442" spans="1:8" ht="12.75">
      <c r="A442" s="626"/>
      <c r="B442" s="310"/>
      <c r="C442" s="310"/>
      <c r="D442" s="310"/>
      <c r="E442" s="310"/>
      <c r="F442" s="310"/>
      <c r="G442" s="310"/>
      <c r="H442" s="310"/>
    </row>
    <row r="443" spans="1:8" ht="12.75">
      <c r="A443" s="626"/>
      <c r="B443" s="310"/>
      <c r="C443" s="310"/>
      <c r="D443" s="310"/>
      <c r="E443" s="310"/>
      <c r="F443" s="310"/>
      <c r="G443" s="310"/>
      <c r="H443" s="310"/>
    </row>
    <row r="444" spans="1:8" ht="12.75">
      <c r="A444" s="626"/>
      <c r="B444" s="310"/>
      <c r="C444" s="310"/>
      <c r="D444" s="310"/>
      <c r="E444" s="310"/>
      <c r="F444" s="310"/>
      <c r="G444" s="310"/>
      <c r="H444" s="310"/>
    </row>
    <row r="445" spans="1:8" ht="12.75">
      <c r="A445" s="626"/>
      <c r="B445" s="310"/>
      <c r="C445" s="310"/>
      <c r="D445" s="310"/>
      <c r="E445" s="310"/>
      <c r="F445" s="310"/>
      <c r="G445" s="310"/>
      <c r="H445" s="310"/>
    </row>
    <row r="446" spans="1:8" ht="12.75">
      <c r="A446" s="626"/>
      <c r="B446" s="310"/>
      <c r="C446" s="310"/>
      <c r="D446" s="310"/>
      <c r="E446" s="310"/>
      <c r="F446" s="310"/>
      <c r="G446" s="310"/>
      <c r="H446" s="310"/>
    </row>
    <row r="447" spans="1:8" ht="12.75">
      <c r="A447" s="626"/>
      <c r="B447" s="310"/>
      <c r="C447" s="310"/>
      <c r="D447" s="310"/>
      <c r="E447" s="310"/>
      <c r="F447" s="310"/>
      <c r="G447" s="310"/>
      <c r="H447" s="310"/>
    </row>
    <row r="448" spans="1:8" ht="12.75">
      <c r="A448" s="626"/>
      <c r="B448" s="310"/>
      <c r="C448" s="310"/>
      <c r="D448" s="310"/>
      <c r="E448" s="310"/>
      <c r="F448" s="310"/>
      <c r="G448" s="310"/>
      <c r="H448" s="310"/>
    </row>
    <row r="449" spans="1:8" ht="12.75">
      <c r="A449" s="626"/>
      <c r="B449" s="310"/>
      <c r="C449" s="310"/>
      <c r="D449" s="310"/>
      <c r="E449" s="310"/>
      <c r="F449" s="310"/>
      <c r="G449" s="310"/>
      <c r="H449" s="310"/>
    </row>
    <row r="450" spans="1:8" ht="12.75">
      <c r="A450" s="626"/>
      <c r="B450" s="310"/>
      <c r="C450" s="310"/>
      <c r="D450" s="310"/>
      <c r="E450" s="310"/>
      <c r="F450" s="310"/>
      <c r="G450" s="310"/>
      <c r="H450" s="310"/>
    </row>
    <row r="451" spans="1:8" ht="12.75">
      <c r="A451" s="626"/>
      <c r="B451" s="310"/>
      <c r="C451" s="310"/>
      <c r="D451" s="310"/>
      <c r="E451" s="310"/>
      <c r="F451" s="310"/>
      <c r="G451" s="310"/>
      <c r="H451" s="310"/>
    </row>
    <row r="452" spans="1:8" ht="12.75">
      <c r="A452" s="626"/>
      <c r="B452" s="310"/>
      <c r="C452" s="310"/>
      <c r="D452" s="310"/>
      <c r="E452" s="310"/>
      <c r="F452" s="310"/>
      <c r="G452" s="310"/>
      <c r="H452" s="310"/>
    </row>
    <row r="453" spans="1:8" ht="12.75">
      <c r="A453" s="626"/>
      <c r="B453" s="310"/>
      <c r="C453" s="310"/>
      <c r="D453" s="310"/>
      <c r="E453" s="310"/>
      <c r="F453" s="310"/>
      <c r="G453" s="310"/>
      <c r="H453" s="310"/>
    </row>
    <row r="454" spans="1:8" ht="12.75">
      <c r="A454" s="626"/>
      <c r="B454" s="310"/>
      <c r="C454" s="310"/>
      <c r="D454" s="310"/>
      <c r="E454" s="310"/>
      <c r="F454" s="310"/>
      <c r="G454" s="310"/>
      <c r="H454" s="310"/>
    </row>
    <row r="455" spans="1:8" ht="12.75">
      <c r="A455" s="626"/>
      <c r="B455" s="310"/>
      <c r="C455" s="310"/>
      <c r="D455" s="310"/>
      <c r="E455" s="310"/>
      <c r="F455" s="310"/>
      <c r="G455" s="310"/>
      <c r="H455" s="310"/>
    </row>
    <row r="456" spans="1:8" ht="12.75">
      <c r="A456" s="626"/>
      <c r="B456" s="310"/>
      <c r="C456" s="310"/>
      <c r="D456" s="310"/>
      <c r="E456" s="310"/>
      <c r="F456" s="310"/>
      <c r="G456" s="310"/>
      <c r="H456" s="310"/>
    </row>
    <row r="457" spans="1:8" ht="12.75">
      <c r="A457" s="626"/>
      <c r="B457" s="310"/>
      <c r="C457" s="310"/>
      <c r="D457" s="310"/>
      <c r="E457" s="310"/>
      <c r="F457" s="310"/>
      <c r="G457" s="310"/>
      <c r="H457" s="310"/>
    </row>
    <row r="458" spans="1:8" ht="12.75">
      <c r="A458" s="626"/>
      <c r="B458" s="310"/>
      <c r="C458" s="310"/>
      <c r="D458" s="310"/>
      <c r="E458" s="310"/>
      <c r="F458" s="310"/>
      <c r="G458" s="310"/>
      <c r="H458" s="310"/>
    </row>
    <row r="459" spans="1:8" ht="12.75">
      <c r="A459" s="626"/>
      <c r="B459" s="310"/>
      <c r="C459" s="310"/>
      <c r="D459" s="310"/>
      <c r="E459" s="310"/>
      <c r="F459" s="310"/>
      <c r="G459" s="310"/>
      <c r="H459" s="310"/>
    </row>
    <row r="460" spans="1:8" ht="12.75">
      <c r="A460" s="626"/>
      <c r="B460" s="310"/>
      <c r="C460" s="310"/>
      <c r="D460" s="310"/>
      <c r="E460" s="310"/>
      <c r="F460" s="310"/>
      <c r="G460" s="310"/>
      <c r="H460" s="310"/>
    </row>
    <row r="461" spans="1:8" ht="12.75">
      <c r="A461" s="626"/>
      <c r="B461" s="310"/>
      <c r="C461" s="310"/>
      <c r="D461" s="310"/>
      <c r="E461" s="310"/>
      <c r="F461" s="310"/>
      <c r="G461" s="310"/>
      <c r="H461" s="310"/>
    </row>
    <row r="462" spans="1:8" ht="12.75">
      <c r="A462" s="626"/>
      <c r="B462" s="310"/>
      <c r="C462" s="310"/>
      <c r="D462" s="310"/>
      <c r="E462" s="310"/>
      <c r="F462" s="310"/>
      <c r="G462" s="310"/>
      <c r="H462" s="310"/>
    </row>
    <row r="463" spans="1:8" ht="12.75">
      <c r="A463" s="626"/>
      <c r="B463" s="310"/>
      <c r="C463" s="310"/>
      <c r="D463" s="310"/>
      <c r="E463" s="310"/>
      <c r="F463" s="310"/>
      <c r="G463" s="310"/>
      <c r="H463" s="310"/>
    </row>
    <row r="464" spans="1:8" ht="12.75">
      <c r="A464" s="626"/>
      <c r="B464" s="310"/>
      <c r="C464" s="310"/>
      <c r="D464" s="310"/>
      <c r="E464" s="310"/>
      <c r="F464" s="310"/>
      <c r="G464" s="310"/>
      <c r="H464" s="310"/>
    </row>
    <row r="465" spans="1:8" ht="12.75">
      <c r="A465" s="626"/>
      <c r="B465" s="310"/>
      <c r="C465" s="310"/>
      <c r="D465" s="310"/>
      <c r="E465" s="310"/>
      <c r="F465" s="310"/>
      <c r="G465" s="310"/>
      <c r="H465" s="310"/>
    </row>
    <row r="466" spans="1:8" ht="12.75">
      <c r="A466" s="626"/>
      <c r="B466" s="310"/>
      <c r="C466" s="310"/>
      <c r="D466" s="310"/>
      <c r="E466" s="310"/>
      <c r="F466" s="310"/>
      <c r="G466" s="310"/>
      <c r="H466" s="310"/>
    </row>
    <row r="467" spans="1:8" ht="12.75">
      <c r="A467" s="626"/>
      <c r="B467" s="310"/>
      <c r="C467" s="310"/>
      <c r="D467" s="310"/>
      <c r="E467" s="310"/>
      <c r="F467" s="310"/>
      <c r="G467" s="310"/>
      <c r="H467" s="310"/>
    </row>
    <row r="468" spans="1:8" ht="12.75">
      <c r="A468" s="626"/>
      <c r="B468" s="310"/>
      <c r="C468" s="310"/>
      <c r="D468" s="310"/>
      <c r="E468" s="310"/>
      <c r="F468" s="310"/>
      <c r="G468" s="310"/>
      <c r="H468" s="310"/>
    </row>
    <row r="469" spans="1:8" ht="12.75">
      <c r="A469" s="626"/>
      <c r="B469" s="310"/>
      <c r="C469" s="310"/>
      <c r="D469" s="310"/>
      <c r="E469" s="310"/>
      <c r="F469" s="310"/>
      <c r="G469" s="310"/>
      <c r="H469" s="310"/>
    </row>
    <row r="470" spans="1:8" ht="12.75">
      <c r="A470" s="626"/>
      <c r="B470" s="310"/>
      <c r="C470" s="310"/>
      <c r="D470" s="310"/>
      <c r="E470" s="310"/>
      <c r="F470" s="310"/>
      <c r="G470" s="310"/>
      <c r="H470" s="310"/>
    </row>
    <row r="471" spans="1:8" ht="12.75">
      <c r="A471" s="626"/>
      <c r="B471" s="310"/>
      <c r="C471" s="310"/>
      <c r="D471" s="310"/>
      <c r="E471" s="310"/>
      <c r="F471" s="310"/>
      <c r="G471" s="310"/>
      <c r="H471" s="310"/>
    </row>
    <row r="472" spans="1:8" ht="12.75">
      <c r="A472" s="626"/>
      <c r="B472" s="310"/>
      <c r="C472" s="310"/>
      <c r="D472" s="310"/>
      <c r="E472" s="310"/>
      <c r="F472" s="310"/>
      <c r="G472" s="310"/>
      <c r="H472" s="310"/>
    </row>
    <row r="473" spans="1:8" ht="12.75">
      <c r="A473" s="626"/>
      <c r="B473" s="310"/>
      <c r="C473" s="310"/>
      <c r="D473" s="310"/>
      <c r="E473" s="310"/>
      <c r="F473" s="310"/>
      <c r="G473" s="310"/>
      <c r="H473" s="310"/>
    </row>
    <row r="474" spans="1:8" ht="12.75">
      <c r="A474" s="626"/>
      <c r="B474" s="310"/>
      <c r="C474" s="310"/>
      <c r="D474" s="310"/>
      <c r="E474" s="310"/>
      <c r="F474" s="310"/>
      <c r="G474" s="310"/>
      <c r="H474" s="310"/>
    </row>
    <row r="475" spans="1:8" ht="12.75">
      <c r="A475" s="626"/>
      <c r="B475" s="310"/>
      <c r="C475" s="310"/>
      <c r="D475" s="310"/>
      <c r="E475" s="310"/>
      <c r="F475" s="310"/>
      <c r="G475" s="310"/>
      <c r="H475" s="310"/>
    </row>
    <row r="476" spans="1:8" ht="12.75">
      <c r="A476" s="626"/>
      <c r="B476" s="310"/>
      <c r="C476" s="310"/>
      <c r="D476" s="310"/>
      <c r="E476" s="310"/>
      <c r="F476" s="310"/>
      <c r="G476" s="310"/>
      <c r="H476" s="310"/>
    </row>
    <row r="477" spans="1:8" ht="12.75">
      <c r="A477" s="626"/>
      <c r="B477" s="310"/>
      <c r="C477" s="310"/>
      <c r="D477" s="310"/>
      <c r="E477" s="310"/>
      <c r="F477" s="310"/>
      <c r="G477" s="310"/>
      <c r="H477" s="310"/>
    </row>
    <row r="478" spans="1:8" ht="12.75">
      <c r="A478" s="626"/>
      <c r="B478" s="310"/>
      <c r="C478" s="310"/>
      <c r="D478" s="310"/>
      <c r="E478" s="310"/>
      <c r="F478" s="310"/>
      <c r="G478" s="310"/>
      <c r="H478" s="310"/>
    </row>
    <row r="479" spans="1:8" ht="12.75">
      <c r="A479" s="626"/>
      <c r="B479" s="310"/>
      <c r="C479" s="310"/>
      <c r="D479" s="310"/>
      <c r="E479" s="310"/>
      <c r="F479" s="310"/>
      <c r="G479" s="310"/>
      <c r="H479" s="310"/>
    </row>
    <row r="480" spans="1:8" ht="12.75">
      <c r="A480" s="626"/>
      <c r="B480" s="310"/>
      <c r="C480" s="310"/>
      <c r="D480" s="310"/>
      <c r="E480" s="310"/>
      <c r="F480" s="310"/>
      <c r="G480" s="310"/>
      <c r="H480" s="310"/>
    </row>
    <row r="481" spans="1:8" ht="12.75">
      <c r="A481" s="626"/>
      <c r="B481" s="310"/>
      <c r="C481" s="310"/>
      <c r="D481" s="310"/>
      <c r="E481" s="310"/>
      <c r="F481" s="310"/>
      <c r="G481" s="310"/>
      <c r="H481" s="310"/>
    </row>
    <row r="482" spans="1:8" ht="12.75">
      <c r="A482" s="626"/>
      <c r="B482" s="310"/>
      <c r="C482" s="310"/>
      <c r="D482" s="310"/>
      <c r="E482" s="310"/>
      <c r="F482" s="310"/>
      <c r="G482" s="310"/>
      <c r="H482" s="310"/>
    </row>
    <row r="483" spans="1:8" ht="12.75">
      <c r="A483" s="626"/>
      <c r="B483" s="310"/>
      <c r="C483" s="310"/>
      <c r="D483" s="310"/>
      <c r="E483" s="310"/>
      <c r="F483" s="310"/>
      <c r="G483" s="310"/>
      <c r="H483" s="310"/>
    </row>
    <row r="484" spans="1:8" ht="12.75">
      <c r="A484" s="626"/>
      <c r="B484" s="310"/>
      <c r="C484" s="310"/>
      <c r="D484" s="310"/>
      <c r="E484" s="310"/>
      <c r="F484" s="310"/>
      <c r="G484" s="310"/>
      <c r="H484" s="310"/>
    </row>
    <row r="485" spans="1:8" ht="12.75">
      <c r="A485" s="626"/>
      <c r="B485" s="310"/>
      <c r="C485" s="310"/>
      <c r="D485" s="310"/>
      <c r="E485" s="310"/>
      <c r="F485" s="310"/>
      <c r="G485" s="310"/>
      <c r="H485" s="310"/>
    </row>
    <row r="486" spans="1:8" ht="12.75">
      <c r="A486" s="626"/>
      <c r="B486" s="310"/>
      <c r="C486" s="310"/>
      <c r="D486" s="310"/>
      <c r="E486" s="310"/>
      <c r="F486" s="310"/>
      <c r="G486" s="310"/>
      <c r="H486" s="310"/>
    </row>
    <row r="487" spans="1:8" ht="12.75">
      <c r="A487" s="626"/>
      <c r="B487" s="310"/>
      <c r="C487" s="310"/>
      <c r="D487" s="310"/>
      <c r="E487" s="310"/>
      <c r="F487" s="310"/>
      <c r="G487" s="310"/>
      <c r="H487" s="310"/>
    </row>
    <row r="488" spans="1:8" ht="12.75">
      <c r="A488" s="626"/>
      <c r="B488" s="310"/>
      <c r="C488" s="310"/>
      <c r="D488" s="310"/>
      <c r="E488" s="310"/>
      <c r="F488" s="310"/>
      <c r="G488" s="310"/>
      <c r="H488" s="310"/>
    </row>
    <row r="489" spans="1:8" ht="12.75">
      <c r="A489" s="626"/>
      <c r="B489" s="310"/>
      <c r="C489" s="310"/>
      <c r="D489" s="310"/>
      <c r="E489" s="310"/>
      <c r="F489" s="310"/>
      <c r="G489" s="310"/>
      <c r="H489" s="310"/>
    </row>
    <row r="490" spans="1:8" ht="12.75">
      <c r="A490" s="626"/>
      <c r="B490" s="310"/>
      <c r="C490" s="310"/>
      <c r="D490" s="310"/>
      <c r="E490" s="310"/>
      <c r="F490" s="310"/>
      <c r="G490" s="310"/>
      <c r="H490" s="310"/>
    </row>
    <row r="491" spans="1:8" ht="12.75">
      <c r="A491" s="626"/>
      <c r="B491" s="310"/>
      <c r="C491" s="310"/>
      <c r="D491" s="310"/>
      <c r="E491" s="310"/>
      <c r="F491" s="310"/>
      <c r="G491" s="310"/>
      <c r="H491" s="310"/>
    </row>
    <row r="492" spans="1:8" ht="12.75">
      <c r="A492" s="626"/>
      <c r="B492" s="310"/>
      <c r="C492" s="310"/>
      <c r="D492" s="310"/>
      <c r="E492" s="310"/>
      <c r="F492" s="310"/>
      <c r="G492" s="310"/>
      <c r="H492" s="310"/>
    </row>
    <row r="493" spans="1:8" ht="12.75">
      <c r="A493" s="626"/>
      <c r="B493" s="310"/>
      <c r="C493" s="310"/>
      <c r="D493" s="310"/>
      <c r="E493" s="310"/>
      <c r="F493" s="310"/>
      <c r="G493" s="310"/>
      <c r="H493" s="310"/>
    </row>
    <row r="494" spans="1:8" ht="12.75">
      <c r="A494" s="626"/>
      <c r="B494" s="310"/>
      <c r="C494" s="310"/>
      <c r="D494" s="310"/>
      <c r="E494" s="310"/>
      <c r="F494" s="310"/>
      <c r="G494" s="310"/>
      <c r="H494" s="310"/>
    </row>
    <row r="495" spans="1:8" ht="12.75">
      <c r="A495" s="626"/>
      <c r="B495" s="310"/>
      <c r="C495" s="310"/>
      <c r="D495" s="310"/>
      <c r="E495" s="310"/>
      <c r="F495" s="310"/>
      <c r="G495" s="310"/>
      <c r="H495" s="310"/>
    </row>
    <row r="496" spans="1:8" ht="12.75">
      <c r="A496" s="626"/>
      <c r="B496" s="310"/>
      <c r="C496" s="310"/>
      <c r="D496" s="310"/>
      <c r="E496" s="310"/>
      <c r="F496" s="310"/>
      <c r="G496" s="310"/>
      <c r="H496" s="310"/>
    </row>
    <row r="497" spans="1:8" ht="12.75">
      <c r="A497" s="626"/>
      <c r="B497" s="310"/>
      <c r="C497" s="310"/>
      <c r="D497" s="310"/>
      <c r="E497" s="310"/>
      <c r="F497" s="310"/>
      <c r="G497" s="310"/>
      <c r="H497" s="310"/>
    </row>
    <row r="498" spans="1:8" ht="12.75">
      <c r="A498" s="626"/>
      <c r="B498" s="310"/>
      <c r="C498" s="310"/>
      <c r="D498" s="310"/>
      <c r="E498" s="310"/>
      <c r="F498" s="310"/>
      <c r="G498" s="310"/>
      <c r="H498" s="310"/>
    </row>
    <row r="499" spans="1:8" ht="12.75">
      <c r="A499" s="626"/>
      <c r="B499" s="310"/>
      <c r="C499" s="310"/>
      <c r="D499" s="310"/>
      <c r="E499" s="310"/>
      <c r="F499" s="310"/>
      <c r="G499" s="310"/>
      <c r="H499" s="310"/>
    </row>
    <row r="500" spans="1:8" ht="12.75">
      <c r="A500" s="626"/>
      <c r="B500" s="310"/>
      <c r="C500" s="310"/>
      <c r="D500" s="310"/>
      <c r="E500" s="310"/>
      <c r="F500" s="310"/>
      <c r="G500" s="310"/>
      <c r="H500" s="310"/>
    </row>
    <row r="501" spans="1:8" ht="12.75">
      <c r="A501" s="626"/>
      <c r="B501" s="310"/>
      <c r="C501" s="310"/>
      <c r="D501" s="310"/>
      <c r="E501" s="310"/>
      <c r="F501" s="310"/>
      <c r="G501" s="310"/>
      <c r="H501" s="310"/>
    </row>
    <row r="502" spans="1:8" ht="12.75">
      <c r="A502" s="626"/>
      <c r="B502" s="310"/>
      <c r="C502" s="310"/>
      <c r="D502" s="310"/>
      <c r="E502" s="310"/>
      <c r="F502" s="310"/>
      <c r="G502" s="310"/>
      <c r="H502" s="310"/>
    </row>
    <row r="503" spans="1:8" ht="12.75">
      <c r="A503" s="626"/>
      <c r="B503" s="310"/>
      <c r="C503" s="310"/>
      <c r="D503" s="310"/>
      <c r="E503" s="310"/>
      <c r="F503" s="310"/>
      <c r="G503" s="310"/>
      <c r="H503" s="310"/>
    </row>
    <row r="504" spans="1:8" ht="12.75">
      <c r="A504" s="626"/>
      <c r="B504" s="310"/>
      <c r="C504" s="310"/>
      <c r="D504" s="310"/>
      <c r="E504" s="310"/>
      <c r="F504" s="310"/>
      <c r="G504" s="310"/>
      <c r="H504" s="310"/>
    </row>
    <row r="505" spans="1:8" ht="12.75">
      <c r="A505" s="626"/>
      <c r="B505" s="310"/>
      <c r="C505" s="310"/>
      <c r="D505" s="310"/>
      <c r="E505" s="310"/>
      <c r="F505" s="310"/>
      <c r="G505" s="310"/>
      <c r="H505" s="310"/>
    </row>
    <row r="506" spans="1:8" ht="12.75">
      <c r="A506" s="626"/>
      <c r="B506" s="310"/>
      <c r="C506" s="310"/>
      <c r="D506" s="310"/>
      <c r="E506" s="310"/>
      <c r="F506" s="310"/>
      <c r="G506" s="310"/>
      <c r="H506" s="310"/>
    </row>
    <row r="507" spans="1:8" ht="12.75">
      <c r="A507" s="626"/>
      <c r="B507" s="310"/>
      <c r="C507" s="310"/>
      <c r="D507" s="310"/>
      <c r="E507" s="310"/>
      <c r="F507" s="310"/>
      <c r="G507" s="310"/>
      <c r="H507" s="310"/>
    </row>
    <row r="508" spans="1:8" ht="12.75">
      <c r="A508" s="626"/>
      <c r="B508" s="310"/>
      <c r="C508" s="310"/>
      <c r="D508" s="310"/>
      <c r="E508" s="310"/>
      <c r="F508" s="310"/>
      <c r="G508" s="310"/>
      <c r="H508" s="310"/>
    </row>
    <row r="509" spans="1:8" ht="12.75">
      <c r="A509" s="626"/>
      <c r="B509" s="310"/>
      <c r="C509" s="310"/>
      <c r="D509" s="310"/>
      <c r="E509" s="310"/>
      <c r="F509" s="310"/>
      <c r="G509" s="310"/>
      <c r="H509" s="310"/>
    </row>
    <row r="510" spans="1:8" ht="12.75">
      <c r="A510" s="626"/>
      <c r="B510" s="310"/>
      <c r="C510" s="310"/>
      <c r="D510" s="310"/>
      <c r="E510" s="310"/>
      <c r="F510" s="310"/>
      <c r="G510" s="310"/>
      <c r="H510" s="310"/>
    </row>
    <row r="511" spans="1:8" ht="12.75">
      <c r="A511" s="626"/>
      <c r="B511" s="310"/>
      <c r="C511" s="310"/>
      <c r="D511" s="310"/>
      <c r="E511" s="310"/>
      <c r="F511" s="310"/>
      <c r="G511" s="310"/>
      <c r="H511" s="310"/>
    </row>
    <row r="512" spans="1:8" ht="12.75">
      <c r="A512" s="626"/>
      <c r="B512" s="310"/>
      <c r="C512" s="310"/>
      <c r="D512" s="310"/>
      <c r="E512" s="310"/>
      <c r="F512" s="310"/>
      <c r="G512" s="310"/>
      <c r="H512" s="310"/>
    </row>
    <row r="513" spans="1:8" ht="12.75">
      <c r="A513" s="626"/>
      <c r="B513" s="310"/>
      <c r="C513" s="310"/>
      <c r="D513" s="310"/>
      <c r="E513" s="310"/>
      <c r="F513" s="310"/>
      <c r="G513" s="310"/>
      <c r="H513" s="310"/>
    </row>
    <row r="514" spans="1:8" ht="12.75">
      <c r="A514" s="626"/>
      <c r="B514" s="310"/>
      <c r="C514" s="310"/>
      <c r="D514" s="310"/>
      <c r="E514" s="310"/>
      <c r="F514" s="310"/>
      <c r="G514" s="310"/>
      <c r="H514" s="310"/>
    </row>
    <row r="515" spans="1:8" ht="12.75">
      <c r="A515" s="626"/>
      <c r="B515" s="310"/>
      <c r="C515" s="310"/>
      <c r="D515" s="310"/>
      <c r="E515" s="310"/>
      <c r="F515" s="310"/>
      <c r="G515" s="310"/>
      <c r="H515" s="310"/>
    </row>
    <row r="516" spans="1:8" ht="12.75">
      <c r="A516" s="626"/>
      <c r="B516" s="310"/>
      <c r="C516" s="310"/>
      <c r="D516" s="310"/>
      <c r="E516" s="310"/>
      <c r="F516" s="310"/>
      <c r="G516" s="310"/>
      <c r="H516" s="310"/>
    </row>
    <row r="517" spans="1:8" ht="12.75">
      <c r="A517" s="626"/>
      <c r="B517" s="310"/>
      <c r="C517" s="310"/>
      <c r="D517" s="310"/>
      <c r="E517" s="310"/>
      <c r="F517" s="310"/>
      <c r="G517" s="310"/>
      <c r="H517" s="310"/>
    </row>
    <row r="518" spans="1:8" ht="12.75">
      <c r="A518" s="626"/>
      <c r="B518" s="310"/>
      <c r="C518" s="310"/>
      <c r="D518" s="310"/>
      <c r="E518" s="310"/>
      <c r="F518" s="310"/>
      <c r="G518" s="310"/>
      <c r="H518" s="310"/>
    </row>
    <row r="519" spans="1:8" ht="12.75">
      <c r="A519" s="626"/>
      <c r="B519" s="310"/>
      <c r="C519" s="310"/>
      <c r="D519" s="310"/>
      <c r="E519" s="310"/>
      <c r="F519" s="310"/>
      <c r="G519" s="310"/>
      <c r="H519" s="310"/>
    </row>
    <row r="520" spans="1:8" ht="12.75">
      <c r="A520" s="626"/>
      <c r="B520" s="310"/>
      <c r="C520" s="310"/>
      <c r="D520" s="310"/>
      <c r="E520" s="310"/>
      <c r="F520" s="310"/>
      <c r="G520" s="310"/>
      <c r="H520" s="310"/>
    </row>
    <row r="521" spans="1:8" ht="12.75">
      <c r="A521" s="626"/>
      <c r="B521" s="310"/>
      <c r="C521" s="310"/>
      <c r="D521" s="310"/>
      <c r="E521" s="310"/>
      <c r="F521" s="310"/>
      <c r="G521" s="310"/>
      <c r="H521" s="310"/>
    </row>
    <row r="522" spans="1:8" ht="12.75">
      <c r="A522" s="626"/>
      <c r="B522" s="310"/>
      <c r="C522" s="310"/>
      <c r="D522" s="310"/>
      <c r="E522" s="310"/>
      <c r="F522" s="310"/>
      <c r="G522" s="310"/>
      <c r="H522" s="310"/>
    </row>
    <row r="523" spans="1:8" ht="12.75">
      <c r="A523" s="626"/>
      <c r="B523" s="310"/>
      <c r="C523" s="310"/>
      <c r="D523" s="310"/>
      <c r="E523" s="310"/>
      <c r="F523" s="310"/>
      <c r="G523" s="310"/>
      <c r="H523" s="310"/>
    </row>
    <row r="524" spans="1:8" ht="12.75">
      <c r="A524" s="626"/>
      <c r="B524" s="310"/>
      <c r="C524" s="310"/>
      <c r="D524" s="310"/>
      <c r="E524" s="310"/>
      <c r="F524" s="310"/>
      <c r="G524" s="310"/>
      <c r="H524" s="310"/>
    </row>
    <row r="525" spans="1:8" ht="12.75">
      <c r="A525" s="626"/>
      <c r="B525" s="310"/>
      <c r="C525" s="310"/>
      <c r="D525" s="310"/>
      <c r="E525" s="310"/>
      <c r="F525" s="310"/>
      <c r="G525" s="310"/>
      <c r="H525" s="310"/>
    </row>
    <row r="526" spans="1:8" ht="12.75">
      <c r="A526" s="626"/>
      <c r="B526" s="310"/>
      <c r="C526" s="310"/>
      <c r="D526" s="310"/>
      <c r="E526" s="310"/>
      <c r="F526" s="310"/>
      <c r="G526" s="310"/>
      <c r="H526" s="310"/>
    </row>
    <row r="527" spans="1:8" ht="12.75">
      <c r="A527" s="626"/>
      <c r="B527" s="310"/>
      <c r="C527" s="310"/>
      <c r="D527" s="310"/>
      <c r="E527" s="310"/>
      <c r="F527" s="310"/>
      <c r="G527" s="310"/>
      <c r="H527" s="310"/>
    </row>
    <row r="528" spans="1:8" ht="12.75">
      <c r="A528" s="626"/>
      <c r="B528" s="310"/>
      <c r="C528" s="310"/>
      <c r="D528" s="310"/>
      <c r="E528" s="310"/>
      <c r="F528" s="310"/>
      <c r="G528" s="310"/>
      <c r="H528" s="310"/>
    </row>
    <row r="529" spans="1:8" ht="12.75">
      <c r="A529" s="626"/>
      <c r="B529" s="310"/>
      <c r="C529" s="310"/>
      <c r="D529" s="310"/>
      <c r="E529" s="310"/>
      <c r="F529" s="310"/>
      <c r="G529" s="310"/>
      <c r="H529" s="310"/>
    </row>
    <row r="530" spans="1:8" ht="12.75">
      <c r="A530" s="626"/>
      <c r="B530" s="310"/>
      <c r="C530" s="310"/>
      <c r="D530" s="310"/>
      <c r="E530" s="310"/>
      <c r="F530" s="310"/>
      <c r="G530" s="310"/>
      <c r="H530" s="310"/>
    </row>
    <row r="531" spans="1:8" ht="12.75">
      <c r="A531" s="626"/>
      <c r="B531" s="310"/>
      <c r="C531" s="310"/>
      <c r="D531" s="310"/>
      <c r="E531" s="310"/>
      <c r="F531" s="310"/>
      <c r="G531" s="310"/>
      <c r="H531" s="310"/>
    </row>
    <row r="532" spans="1:8" ht="12.75">
      <c r="A532" s="626"/>
      <c r="B532" s="310"/>
      <c r="C532" s="310"/>
      <c r="D532" s="310"/>
      <c r="E532" s="310"/>
      <c r="F532" s="310"/>
      <c r="G532" s="310"/>
      <c r="H532" s="310"/>
    </row>
    <row r="533" spans="1:8" ht="12.75">
      <c r="A533" s="626"/>
      <c r="B533" s="310"/>
      <c r="C533" s="310"/>
      <c r="D533" s="310"/>
      <c r="E533" s="310"/>
      <c r="F533" s="310"/>
      <c r="G533" s="310"/>
      <c r="H533" s="310"/>
    </row>
    <row r="534" spans="1:8" ht="12.75">
      <c r="A534" s="626"/>
      <c r="B534" s="310"/>
      <c r="C534" s="310"/>
      <c r="D534" s="310"/>
      <c r="E534" s="310"/>
      <c r="F534" s="310"/>
      <c r="G534" s="310"/>
      <c r="H534" s="310"/>
    </row>
    <row r="535" spans="1:8" ht="12.75">
      <c r="A535" s="626"/>
      <c r="B535" s="310"/>
      <c r="C535" s="310"/>
      <c r="D535" s="310"/>
      <c r="E535" s="310"/>
      <c r="F535" s="310"/>
      <c r="G535" s="310"/>
      <c r="H535" s="310"/>
    </row>
    <row r="536" spans="1:8" ht="12.75">
      <c r="A536" s="626"/>
      <c r="B536" s="310"/>
      <c r="C536" s="310"/>
      <c r="D536" s="310"/>
      <c r="E536" s="310"/>
      <c r="F536" s="310"/>
      <c r="G536" s="310"/>
      <c r="H536" s="310"/>
    </row>
    <row r="537" spans="1:8" ht="12.75">
      <c r="A537" s="626"/>
      <c r="B537" s="310"/>
      <c r="C537" s="310"/>
      <c r="D537" s="310"/>
      <c r="E537" s="310"/>
      <c r="F537" s="310"/>
      <c r="G537" s="310"/>
      <c r="H537" s="310"/>
    </row>
    <row r="538" spans="1:8" ht="12.75">
      <c r="A538" s="626"/>
      <c r="B538" s="310"/>
      <c r="C538" s="310"/>
      <c r="D538" s="310"/>
      <c r="E538" s="310"/>
      <c r="F538" s="310"/>
      <c r="G538" s="310"/>
      <c r="H538" s="310"/>
    </row>
    <row r="539" spans="1:8" ht="12.75">
      <c r="A539" s="626"/>
      <c r="B539" s="310"/>
      <c r="C539" s="310"/>
      <c r="D539" s="310"/>
      <c r="E539" s="310"/>
      <c r="F539" s="310"/>
      <c r="G539" s="310"/>
      <c r="H539" s="310"/>
    </row>
    <row r="540" spans="1:8" ht="12.75">
      <c r="A540" s="626"/>
      <c r="B540" s="310"/>
      <c r="C540" s="310"/>
      <c r="D540" s="310"/>
      <c r="E540" s="310"/>
      <c r="F540" s="310"/>
      <c r="G540" s="310"/>
      <c r="H540" s="310"/>
    </row>
    <row r="541" spans="1:8" ht="12.75">
      <c r="A541" s="626"/>
      <c r="B541" s="310"/>
      <c r="C541" s="310"/>
      <c r="D541" s="310"/>
      <c r="E541" s="310"/>
      <c r="F541" s="310"/>
      <c r="G541" s="310"/>
      <c r="H541" s="310"/>
    </row>
    <row r="542" spans="1:8" ht="12.75">
      <c r="A542" s="626"/>
      <c r="B542" s="310"/>
      <c r="C542" s="310"/>
      <c r="D542" s="310"/>
      <c r="E542" s="310"/>
      <c r="F542" s="310"/>
      <c r="G542" s="310"/>
      <c r="H542" s="310"/>
    </row>
    <row r="543" spans="1:8" ht="12.75">
      <c r="A543" s="626"/>
      <c r="B543" s="310"/>
      <c r="C543" s="310"/>
      <c r="D543" s="310"/>
      <c r="E543" s="310"/>
      <c r="F543" s="310"/>
      <c r="G543" s="310"/>
      <c r="H543" s="310"/>
    </row>
    <row r="544" spans="1:8" ht="12.75">
      <c r="A544" s="626"/>
      <c r="B544" s="310"/>
      <c r="C544" s="310"/>
      <c r="D544" s="310"/>
      <c r="E544" s="310"/>
      <c r="F544" s="310"/>
      <c r="G544" s="310"/>
      <c r="H544" s="310"/>
    </row>
    <row r="545" spans="1:8" ht="12.75">
      <c r="A545" s="626"/>
      <c r="B545" s="310"/>
      <c r="C545" s="310"/>
      <c r="D545" s="310"/>
      <c r="E545" s="310"/>
      <c r="F545" s="310"/>
      <c r="G545" s="310"/>
      <c r="H545" s="310"/>
    </row>
    <row r="546" spans="1:8" ht="12.75">
      <c r="A546" s="626"/>
      <c r="B546" s="310"/>
      <c r="C546" s="310"/>
      <c r="D546" s="310"/>
      <c r="E546" s="310"/>
      <c r="F546" s="310"/>
      <c r="G546" s="310"/>
      <c r="H546" s="310"/>
    </row>
    <row r="547" spans="1:8" ht="12.75">
      <c r="A547" s="626"/>
      <c r="B547" s="310"/>
      <c r="C547" s="310"/>
      <c r="D547" s="310"/>
      <c r="E547" s="310"/>
      <c r="F547" s="310"/>
      <c r="G547" s="310"/>
      <c r="H547" s="310"/>
    </row>
    <row r="548" spans="1:8" ht="12.75">
      <c r="A548" s="626"/>
      <c r="B548" s="310"/>
      <c r="C548" s="310"/>
      <c r="D548" s="310"/>
      <c r="E548" s="310"/>
      <c r="F548" s="310"/>
      <c r="G548" s="310"/>
      <c r="H548" s="310"/>
    </row>
    <row r="549" spans="1:8" ht="12.75">
      <c r="A549" s="626"/>
      <c r="B549" s="310"/>
      <c r="C549" s="310"/>
      <c r="D549" s="310"/>
      <c r="E549" s="310"/>
      <c r="F549" s="310"/>
      <c r="G549" s="310"/>
      <c r="H549" s="310"/>
    </row>
    <row r="550" spans="1:8" ht="12.75">
      <c r="A550" s="626"/>
      <c r="B550" s="310"/>
      <c r="C550" s="310"/>
      <c r="D550" s="310"/>
      <c r="E550" s="310"/>
      <c r="F550" s="310"/>
      <c r="G550" s="310"/>
      <c r="H550" s="310"/>
    </row>
    <row r="551" spans="1:8" ht="12.75">
      <c r="A551" s="626"/>
      <c r="B551" s="310"/>
      <c r="C551" s="310"/>
      <c r="D551" s="310"/>
      <c r="E551" s="310"/>
      <c r="F551" s="310"/>
      <c r="G551" s="310"/>
      <c r="H551" s="310"/>
    </row>
    <row r="552" spans="1:8" ht="12.75">
      <c r="A552" s="626"/>
      <c r="B552" s="310"/>
      <c r="C552" s="310"/>
      <c r="D552" s="310"/>
      <c r="E552" s="310"/>
      <c r="F552" s="310"/>
      <c r="G552" s="310"/>
      <c r="H552" s="310"/>
    </row>
    <row r="553" spans="1:8" ht="12.75">
      <c r="A553" s="626"/>
      <c r="B553" s="310"/>
      <c r="C553" s="310"/>
      <c r="D553" s="310"/>
      <c r="E553" s="310"/>
      <c r="F553" s="310"/>
      <c r="G553" s="310"/>
      <c r="H553" s="310"/>
    </row>
    <row r="554" spans="1:8" ht="12.75">
      <c r="A554" s="626"/>
      <c r="B554" s="310"/>
      <c r="C554" s="310"/>
      <c r="D554" s="310"/>
      <c r="E554" s="310"/>
      <c r="F554" s="310"/>
      <c r="G554" s="310"/>
      <c r="H554" s="310"/>
    </row>
    <row r="555" spans="1:8" ht="12.75">
      <c r="A555" s="626"/>
      <c r="B555" s="310"/>
      <c r="C555" s="310"/>
      <c r="D555" s="310"/>
      <c r="E555" s="310"/>
      <c r="F555" s="310"/>
      <c r="G555" s="310"/>
      <c r="H555" s="310"/>
    </row>
    <row r="556" spans="1:8" ht="12.75">
      <c r="A556" s="626"/>
      <c r="B556" s="310"/>
      <c r="C556" s="310"/>
      <c r="D556" s="310"/>
      <c r="E556" s="310"/>
      <c r="F556" s="310"/>
      <c r="G556" s="310"/>
      <c r="H556" s="310"/>
    </row>
    <row r="557" spans="1:8" ht="12.75">
      <c r="A557" s="626"/>
      <c r="B557" s="310"/>
      <c r="C557" s="310"/>
      <c r="D557" s="310"/>
      <c r="E557" s="310"/>
      <c r="F557" s="310"/>
      <c r="G557" s="310"/>
      <c r="H557" s="310"/>
    </row>
    <row r="558" spans="1:8" ht="12.75">
      <c r="A558" s="626"/>
      <c r="B558" s="310"/>
      <c r="C558" s="310"/>
      <c r="D558" s="310"/>
      <c r="E558" s="310"/>
      <c r="F558" s="310"/>
      <c r="G558" s="310"/>
      <c r="H558" s="310"/>
    </row>
    <row r="559" spans="1:8" ht="12.75">
      <c r="A559" s="626"/>
      <c r="B559" s="310"/>
      <c r="C559" s="310"/>
      <c r="D559" s="310"/>
      <c r="E559" s="310"/>
      <c r="F559" s="310"/>
      <c r="G559" s="310"/>
      <c r="H559" s="310"/>
    </row>
    <row r="560" spans="1:8" ht="12.75">
      <c r="A560" s="626"/>
      <c r="B560" s="310"/>
      <c r="C560" s="310"/>
      <c r="D560" s="310"/>
      <c r="E560" s="310"/>
      <c r="F560" s="310"/>
      <c r="G560" s="310"/>
      <c r="H560" s="310"/>
    </row>
    <row r="561" spans="1:8" ht="12.75">
      <c r="A561" s="626"/>
      <c r="B561" s="310"/>
      <c r="C561" s="310"/>
      <c r="D561" s="310"/>
      <c r="E561" s="310"/>
      <c r="F561" s="310"/>
      <c r="G561" s="310"/>
      <c r="H561" s="310"/>
    </row>
    <row r="562" spans="1:8" ht="12.75">
      <c r="A562" s="626"/>
      <c r="B562" s="310"/>
      <c r="C562" s="310"/>
      <c r="D562" s="310"/>
      <c r="E562" s="310"/>
      <c r="F562" s="310"/>
      <c r="G562" s="310"/>
      <c r="H562" s="310"/>
    </row>
    <row r="563" spans="1:8" ht="12.75">
      <c r="A563" s="626"/>
      <c r="B563" s="310"/>
      <c r="C563" s="310"/>
      <c r="D563" s="310"/>
      <c r="E563" s="310"/>
      <c r="F563" s="310"/>
      <c r="G563" s="310"/>
      <c r="H563" s="310"/>
    </row>
    <row r="564" spans="1:8" ht="12.75">
      <c r="A564" s="626"/>
      <c r="B564" s="310"/>
      <c r="C564" s="310"/>
      <c r="D564" s="310"/>
      <c r="E564" s="310"/>
      <c r="F564" s="310"/>
      <c r="G564" s="310"/>
      <c r="H564" s="310"/>
    </row>
    <row r="565" spans="1:8" ht="12.75">
      <c r="A565" s="626"/>
      <c r="B565" s="310"/>
      <c r="C565" s="310"/>
      <c r="D565" s="310"/>
      <c r="E565" s="310"/>
      <c r="F565" s="310"/>
      <c r="G565" s="310"/>
      <c r="H565" s="310"/>
    </row>
    <row r="566" spans="1:8" ht="12.75">
      <c r="A566" s="626"/>
      <c r="B566" s="310"/>
      <c r="C566" s="310"/>
      <c r="D566" s="310"/>
      <c r="E566" s="310"/>
      <c r="F566" s="310"/>
      <c r="G566" s="310"/>
      <c r="H566" s="310"/>
    </row>
    <row r="567" spans="1:8" ht="12.75">
      <c r="A567" s="626"/>
      <c r="B567" s="310"/>
      <c r="C567" s="310"/>
      <c r="D567" s="310"/>
      <c r="E567" s="310"/>
      <c r="F567" s="310"/>
      <c r="G567" s="310"/>
      <c r="H567" s="310"/>
    </row>
    <row r="568" spans="1:8" ht="12.75">
      <c r="A568" s="626"/>
      <c r="B568" s="310"/>
      <c r="C568" s="310"/>
      <c r="D568" s="310"/>
      <c r="E568" s="310"/>
      <c r="F568" s="310"/>
      <c r="G568" s="310"/>
      <c r="H568" s="310"/>
    </row>
    <row r="569" spans="1:8" ht="12.75">
      <c r="A569" s="626"/>
      <c r="B569" s="310"/>
      <c r="C569" s="310"/>
      <c r="D569" s="310"/>
      <c r="E569" s="310"/>
      <c r="F569" s="310"/>
      <c r="G569" s="310"/>
      <c r="H569" s="310"/>
    </row>
    <row r="570" spans="1:8" ht="12.75">
      <c r="A570" s="626"/>
      <c r="B570" s="310"/>
      <c r="C570" s="310"/>
      <c r="D570" s="310"/>
      <c r="E570" s="310"/>
      <c r="F570" s="310"/>
      <c r="G570" s="310"/>
      <c r="H570" s="310"/>
    </row>
    <row r="571" spans="1:8" ht="12.75">
      <c r="A571" s="626"/>
      <c r="B571" s="310"/>
      <c r="C571" s="310"/>
      <c r="D571" s="310"/>
      <c r="E571" s="310"/>
      <c r="F571" s="310"/>
      <c r="G571" s="310"/>
      <c r="H571" s="310"/>
    </row>
    <row r="572" spans="1:8" ht="12.75">
      <c r="A572" s="626"/>
      <c r="B572" s="310"/>
      <c r="C572" s="310"/>
      <c r="D572" s="310"/>
      <c r="E572" s="310"/>
      <c r="F572" s="310"/>
      <c r="G572" s="310"/>
      <c r="H572" s="310"/>
    </row>
    <row r="573" spans="1:8" ht="12.75">
      <c r="A573" s="626"/>
      <c r="B573" s="310"/>
      <c r="C573" s="310"/>
      <c r="D573" s="310"/>
      <c r="E573" s="310"/>
      <c r="F573" s="310"/>
      <c r="G573" s="310"/>
      <c r="H573" s="310"/>
    </row>
    <row r="574" spans="1:8" ht="12.75">
      <c r="A574" s="626"/>
      <c r="B574" s="310"/>
      <c r="C574" s="310"/>
      <c r="D574" s="310"/>
      <c r="E574" s="310"/>
      <c r="F574" s="310"/>
      <c r="G574" s="310"/>
      <c r="H574" s="310"/>
    </row>
    <row r="575" spans="1:8" ht="12.75">
      <c r="A575" s="626"/>
      <c r="B575" s="310"/>
      <c r="C575" s="310"/>
      <c r="D575" s="310"/>
      <c r="E575" s="310"/>
      <c r="F575" s="310"/>
      <c r="G575" s="310"/>
      <c r="H575" s="310"/>
    </row>
    <row r="576" spans="1:8" ht="12.75">
      <c r="A576" s="626"/>
      <c r="B576" s="310"/>
      <c r="C576" s="310"/>
      <c r="D576" s="310"/>
      <c r="E576" s="310"/>
      <c r="F576" s="310"/>
      <c r="G576" s="310"/>
      <c r="H576" s="310"/>
    </row>
    <row r="577" spans="1:8" ht="12.75">
      <c r="A577" s="626"/>
      <c r="B577" s="310"/>
      <c r="C577" s="310"/>
      <c r="D577" s="310"/>
      <c r="E577" s="310"/>
      <c r="F577" s="310"/>
      <c r="G577" s="310"/>
      <c r="H577" s="310"/>
    </row>
    <row r="578" spans="1:8" ht="12.75">
      <c r="A578" s="626"/>
      <c r="B578" s="310"/>
      <c r="C578" s="310"/>
      <c r="D578" s="310"/>
      <c r="E578" s="310"/>
      <c r="F578" s="310"/>
      <c r="G578" s="310"/>
      <c r="H578" s="310"/>
    </row>
    <row r="579" spans="1:8" ht="12.75">
      <c r="A579" s="626"/>
      <c r="B579" s="310"/>
      <c r="C579" s="310"/>
      <c r="D579" s="310"/>
      <c r="E579" s="310"/>
      <c r="F579" s="310"/>
      <c r="G579" s="310"/>
      <c r="H579" s="310"/>
    </row>
    <row r="580" spans="1:8" ht="12.75">
      <c r="A580" s="626"/>
      <c r="B580" s="310"/>
      <c r="C580" s="310"/>
      <c r="D580" s="310"/>
      <c r="E580" s="310"/>
      <c r="F580" s="310"/>
      <c r="G580" s="310"/>
      <c r="H580" s="310"/>
    </row>
    <row r="581" spans="1:8" ht="12.75">
      <c r="A581" s="626"/>
      <c r="B581" s="310"/>
      <c r="C581" s="310"/>
      <c r="D581" s="310"/>
      <c r="E581" s="310"/>
      <c r="F581" s="310"/>
      <c r="G581" s="310"/>
      <c r="H581" s="310"/>
    </row>
    <row r="582" spans="1:8" ht="12.75">
      <c r="A582" s="626"/>
      <c r="B582" s="310"/>
      <c r="C582" s="310"/>
      <c r="D582" s="310"/>
      <c r="E582" s="310"/>
      <c r="F582" s="310"/>
      <c r="G582" s="310"/>
      <c r="H582" s="310"/>
    </row>
    <row r="583" spans="1:8" ht="12.75">
      <c r="A583" s="626"/>
      <c r="B583" s="310"/>
      <c r="C583" s="310"/>
      <c r="D583" s="310"/>
      <c r="E583" s="310"/>
      <c r="F583" s="310"/>
      <c r="G583" s="310"/>
      <c r="H583" s="310"/>
    </row>
    <row r="584" spans="1:8" ht="12.75">
      <c r="A584" s="626"/>
      <c r="B584" s="310"/>
      <c r="C584" s="310"/>
      <c r="D584" s="310"/>
      <c r="E584" s="310"/>
      <c r="F584" s="310"/>
      <c r="G584" s="310"/>
      <c r="H584" s="310"/>
    </row>
    <row r="585" spans="1:8" ht="12.75">
      <c r="A585" s="626"/>
      <c r="B585" s="310"/>
      <c r="C585" s="310"/>
      <c r="D585" s="310"/>
      <c r="E585" s="310"/>
      <c r="F585" s="310"/>
      <c r="G585" s="310"/>
      <c r="H585" s="310"/>
    </row>
  </sheetData>
  <sheetProtection/>
  <mergeCells count="27">
    <mergeCell ref="A88:B88"/>
    <mergeCell ref="A1:H1"/>
    <mergeCell ref="B78:G78"/>
    <mergeCell ref="B74:G74"/>
    <mergeCell ref="A80:H80"/>
    <mergeCell ref="A31:B31"/>
    <mergeCell ref="A82:H82"/>
    <mergeCell ref="A3:H3"/>
    <mergeCell ref="A103:B103"/>
    <mergeCell ref="A169:H169"/>
    <mergeCell ref="A126:H126"/>
    <mergeCell ref="B162:G162"/>
    <mergeCell ref="B166:G166"/>
    <mergeCell ref="A153:B153"/>
    <mergeCell ref="A154:B154"/>
    <mergeCell ref="A152:B152"/>
    <mergeCell ref="A148:B148"/>
    <mergeCell ref="A100:B100"/>
    <mergeCell ref="A107:B107"/>
    <mergeCell ref="A101:B101"/>
    <mergeCell ref="A132:B132"/>
    <mergeCell ref="A102:B102"/>
    <mergeCell ref="B122:G122"/>
    <mergeCell ref="B118:G118"/>
    <mergeCell ref="A109:B109"/>
    <mergeCell ref="A108:B108"/>
    <mergeCell ref="A111:B111"/>
  </mergeCells>
  <printOptions horizontalCentered="1"/>
  <pageMargins left="0.5" right="0.5" top="1" bottom="0.5" header="0.5" footer="0.5"/>
  <pageSetup fitToHeight="0" fitToWidth="1" horizontalDpi="600" verticalDpi="600" orientation="portrait" scale="42" r:id="rId1"/>
  <headerFooter alignWithMargins="0">
    <oddHeader>&amp;R&amp;14Exhibit  1
Page &amp;P of &amp;N</oddHeader>
  </headerFooter>
  <rowBreaks count="1" manualBreakCount="1">
    <brk id="79" max="7" man="1"/>
  </rowBreaks>
</worksheet>
</file>

<file path=xl/worksheets/sheet3.xml><?xml version="1.0" encoding="utf-8"?>
<worksheet xmlns="http://schemas.openxmlformats.org/spreadsheetml/2006/main" xmlns:r="http://schemas.openxmlformats.org/officeDocument/2006/relationships">
  <sheetPr codeName="Sheet3">
    <tabColor rgb="FF92D050"/>
    <pageSetUpPr fitToPage="1"/>
  </sheetPr>
  <dimension ref="A1:S74"/>
  <sheetViews>
    <sheetView showGridLines="0" zoomScale="75" zoomScaleNormal="75" workbookViewId="0" topLeftCell="A1">
      <selection activeCell="A1" sqref="A1:H1"/>
    </sheetView>
  </sheetViews>
  <sheetFormatPr defaultColWidth="9.140625" defaultRowHeight="12.75"/>
  <cols>
    <col min="1" max="2" width="4.7109375" style="505" customWidth="1"/>
    <col min="3" max="3" width="68.28125" style="505" customWidth="1"/>
    <col min="4" max="4" width="3.140625" style="505" customWidth="1"/>
    <col min="5" max="5" width="14.00390625" style="729" bestFit="1" customWidth="1"/>
    <col min="6" max="6" width="15.28125" style="505" customWidth="1"/>
    <col min="7" max="7" width="12.00390625" style="505" bestFit="1" customWidth="1"/>
    <col min="8" max="19" width="9.140625" style="505" customWidth="1"/>
    <col min="20" max="16384" width="9.140625" style="505" customWidth="1"/>
  </cols>
  <sheetData>
    <row r="1" spans="1:8" ht="18">
      <c r="A1" s="1079" t="str">
        <f>+'Appendix A'!A3</f>
        <v>PPL Electric Utilities Corporation</v>
      </c>
      <c r="B1" s="1079"/>
      <c r="C1" s="1079"/>
      <c r="D1" s="1079"/>
      <c r="E1" s="1079"/>
      <c r="F1" s="1079"/>
      <c r="G1" s="1079"/>
      <c r="H1" s="1112"/>
    </row>
    <row r="2" spans="1:11" s="334" customFormat="1" ht="20.25">
      <c r="A2" s="235"/>
      <c r="C2" s="615"/>
      <c r="D2" s="505"/>
      <c r="E2" s="729"/>
      <c r="F2" s="505"/>
      <c r="G2" s="238"/>
      <c r="H2" s="238"/>
      <c r="I2" s="238"/>
      <c r="J2" s="238"/>
      <c r="K2" s="226"/>
    </row>
    <row r="3" spans="1:8" s="334" customFormat="1" ht="15.75">
      <c r="A3" s="1113" t="s">
        <v>263</v>
      </c>
      <c r="B3" s="1114"/>
      <c r="C3" s="1114"/>
      <c r="D3" s="1114"/>
      <c r="E3" s="1114"/>
      <c r="F3" s="1115"/>
      <c r="G3" s="1115"/>
      <c r="H3" s="1115"/>
    </row>
    <row r="4" s="334" customFormat="1" ht="12.75">
      <c r="E4" s="641"/>
    </row>
    <row r="5" spans="1:4" ht="12.75">
      <c r="A5" s="334"/>
      <c r="B5" s="334"/>
      <c r="C5" s="334"/>
      <c r="D5" s="237"/>
    </row>
    <row r="6" ht="12.75"/>
    <row r="7" spans="1:8" s="334" customFormat="1" ht="12.75">
      <c r="A7" s="505"/>
      <c r="B7" s="505"/>
      <c r="C7" s="505"/>
      <c r="D7" s="358"/>
      <c r="E7" s="358" t="s">
        <v>14</v>
      </c>
      <c r="F7" s="358"/>
      <c r="G7" s="358" t="s">
        <v>22</v>
      </c>
      <c r="H7" s="358"/>
    </row>
    <row r="8" spans="1:8" s="334" customFormat="1" ht="12.75">
      <c r="A8" s="534" t="s">
        <v>371</v>
      </c>
      <c r="B8" s="534"/>
      <c r="D8" s="358"/>
      <c r="E8" s="358" t="s">
        <v>15</v>
      </c>
      <c r="F8" s="358" t="s">
        <v>513</v>
      </c>
      <c r="G8" s="358" t="s">
        <v>23</v>
      </c>
      <c r="H8" s="358"/>
    </row>
    <row r="9" spans="1:8" s="334" customFormat="1" ht="12.75">
      <c r="A9" s="534"/>
      <c r="B9" s="534"/>
      <c r="D9" s="358"/>
      <c r="E9" s="730"/>
      <c r="F9" s="358"/>
      <c r="G9" s="358"/>
      <c r="H9" s="358"/>
    </row>
    <row r="10" spans="1:8" s="334" customFormat="1" ht="12.75">
      <c r="A10" s="534"/>
      <c r="B10" s="534"/>
      <c r="D10" s="358"/>
      <c r="E10" s="730"/>
      <c r="F10" s="358"/>
      <c r="G10" s="358"/>
      <c r="H10" s="358"/>
    </row>
    <row r="11" spans="4:8" s="334" customFormat="1" ht="12.75">
      <c r="D11" s="358"/>
      <c r="E11" s="730"/>
      <c r="G11" s="358"/>
      <c r="H11" s="402"/>
    </row>
    <row r="12" spans="1:8" s="334" customFormat="1" ht="12.75">
      <c r="A12" s="731"/>
      <c r="B12" s="534" t="s">
        <v>13</v>
      </c>
      <c r="D12" s="358"/>
      <c r="E12" s="732"/>
      <c r="F12" s="675" t="s">
        <v>469</v>
      </c>
      <c r="G12" s="358"/>
      <c r="H12" s="402"/>
    </row>
    <row r="13" spans="1:8" s="334" customFormat="1" ht="12.75">
      <c r="A13" s="731"/>
      <c r="D13" s="358"/>
      <c r="E13" s="732"/>
      <c r="F13" s="358"/>
      <c r="G13" s="358"/>
      <c r="H13" s="402"/>
    </row>
    <row r="14" spans="1:10" s="334" customFormat="1" ht="12.75" customHeight="1">
      <c r="A14" s="731">
        <v>1</v>
      </c>
      <c r="B14" s="334" t="s">
        <v>645</v>
      </c>
      <c r="C14" s="226"/>
      <c r="D14" s="733"/>
      <c r="E14" s="734">
        <v>2926752</v>
      </c>
      <c r="F14" s="735"/>
      <c r="G14" s="226"/>
      <c r="H14" s="733"/>
      <c r="I14" s="226"/>
      <c r="J14" s="226"/>
    </row>
    <row r="15" spans="1:10" s="334" customFormat="1" ht="12.75" customHeight="1">
      <c r="A15" s="731">
        <v>2</v>
      </c>
      <c r="B15" s="865" t="s">
        <v>100</v>
      </c>
      <c r="C15" s="226"/>
      <c r="D15" s="733"/>
      <c r="E15" s="734">
        <v>1727781</v>
      </c>
      <c r="F15" s="735"/>
      <c r="G15" s="226"/>
      <c r="H15" s="733"/>
      <c r="I15" s="226"/>
      <c r="J15" s="226"/>
    </row>
    <row r="16" spans="1:10" s="334" customFormat="1" ht="12.75" customHeight="1">
      <c r="A16" s="731">
        <v>3</v>
      </c>
      <c r="B16" s="865"/>
      <c r="C16" s="226"/>
      <c r="D16" s="226"/>
      <c r="E16" s="734"/>
      <c r="F16" s="735"/>
      <c r="G16" s="226"/>
      <c r="H16" s="733"/>
      <c r="I16" s="226"/>
      <c r="J16" s="226"/>
    </row>
    <row r="17" spans="1:10" s="334" customFormat="1" ht="12.75" customHeight="1">
      <c r="A17" s="731">
        <v>4</v>
      </c>
      <c r="C17" s="226"/>
      <c r="D17" s="226"/>
      <c r="E17" s="734"/>
      <c r="F17" s="735"/>
      <c r="G17" s="226"/>
      <c r="H17" s="591"/>
      <c r="I17" s="226"/>
      <c r="J17" s="226"/>
    </row>
    <row r="18" spans="1:8" s="334" customFormat="1" ht="12.75" customHeight="1">
      <c r="A18" s="731">
        <v>5</v>
      </c>
      <c r="C18" s="226"/>
      <c r="D18" s="226"/>
      <c r="E18" s="734"/>
      <c r="F18" s="735"/>
      <c r="H18" s="736"/>
    </row>
    <row r="19" spans="1:8" s="334" customFormat="1" ht="12.75" customHeight="1">
      <c r="A19" s="731">
        <v>6</v>
      </c>
      <c r="C19" s="733"/>
      <c r="D19" s="226"/>
      <c r="E19" s="734"/>
      <c r="H19" s="736"/>
    </row>
    <row r="20" spans="1:8" s="334" customFormat="1" ht="12.75" customHeight="1">
      <c r="A20" s="731">
        <v>7</v>
      </c>
      <c r="C20" s="226"/>
      <c r="D20" s="733"/>
      <c r="E20" s="737"/>
      <c r="F20" s="735"/>
      <c r="H20" s="736"/>
    </row>
    <row r="21" spans="1:8" s="334" customFormat="1" ht="12.75" customHeight="1">
      <c r="A21" s="731">
        <v>8</v>
      </c>
      <c r="B21" s="534" t="s">
        <v>18</v>
      </c>
      <c r="D21" s="736"/>
      <c r="E21" s="738">
        <f>SUM(E14:E20)</f>
        <v>4654533</v>
      </c>
      <c r="F21" s="788">
        <f>'Appendix A'!H$30</f>
        <v>0.4639235650515972</v>
      </c>
      <c r="G21" s="738">
        <f>+E21*F21</f>
        <v>2159347.543010306</v>
      </c>
      <c r="H21" s="736"/>
    </row>
    <row r="22" spans="1:8" s="334" customFormat="1" ht="12.75" customHeight="1">
      <c r="A22" s="731"/>
      <c r="D22" s="736"/>
      <c r="E22" s="739"/>
      <c r="F22" s="736"/>
      <c r="G22" s="736"/>
      <c r="H22" s="736"/>
    </row>
    <row r="23" spans="1:8" s="334" customFormat="1" ht="12.75" customHeight="1">
      <c r="A23" s="731"/>
      <c r="B23" s="534" t="s">
        <v>16</v>
      </c>
      <c r="D23" s="736"/>
      <c r="E23" s="739"/>
      <c r="F23" s="740" t="s">
        <v>486</v>
      </c>
      <c r="G23" s="736"/>
      <c r="H23" s="736"/>
    </row>
    <row r="24" spans="1:8" s="334" customFormat="1" ht="12.75" customHeight="1">
      <c r="A24" s="731"/>
      <c r="D24" s="736"/>
      <c r="E24" s="739"/>
      <c r="F24" s="736"/>
      <c r="G24" s="736"/>
      <c r="H24" s="736"/>
    </row>
    <row r="25" spans="1:8" s="334" customFormat="1" ht="12.75" customHeight="1">
      <c r="A25" s="731">
        <v>9</v>
      </c>
      <c r="B25" s="334" t="s">
        <v>646</v>
      </c>
      <c r="C25" s="226"/>
      <c r="D25" s="741"/>
      <c r="E25" s="734">
        <v>5658564</v>
      </c>
      <c r="F25" s="741"/>
      <c r="G25" s="741"/>
      <c r="H25" s="741"/>
    </row>
    <row r="26" spans="1:5" s="334" customFormat="1" ht="12.75">
      <c r="A26" s="731">
        <v>10</v>
      </c>
      <c r="B26" s="334" t="s">
        <v>647</v>
      </c>
      <c r="C26" s="226"/>
      <c r="E26" s="734">
        <v>35175</v>
      </c>
    </row>
    <row r="27" spans="1:5" s="334" customFormat="1" ht="12.75">
      <c r="A27" s="731">
        <v>11</v>
      </c>
      <c r="B27" s="334" t="s">
        <v>648</v>
      </c>
      <c r="C27" s="226"/>
      <c r="E27" s="734">
        <v>288833</v>
      </c>
    </row>
    <row r="28" spans="1:5" s="334" customFormat="1" ht="12.75">
      <c r="A28" s="731">
        <v>12</v>
      </c>
      <c r="C28" s="226"/>
      <c r="E28" s="742"/>
    </row>
    <row r="29" spans="1:7" s="334" customFormat="1" ht="12.75">
      <c r="A29" s="731">
        <v>13</v>
      </c>
      <c r="C29" s="226"/>
      <c r="E29" s="743"/>
      <c r="G29" s="744"/>
    </row>
    <row r="30" spans="1:7" s="334" customFormat="1" ht="12.75">
      <c r="A30" s="731">
        <v>14</v>
      </c>
      <c r="B30" s="534" t="s">
        <v>19</v>
      </c>
      <c r="E30" s="738">
        <f>SUM(E25:E29)</f>
        <v>5982572</v>
      </c>
      <c r="F30" s="745">
        <f>'Appendix A'!H15</f>
        <v>0.09918079240879704</v>
      </c>
      <c r="G30" s="738">
        <f>+F30*E30</f>
        <v>593356.2316026817</v>
      </c>
    </row>
    <row r="31" spans="1:6" s="334" customFormat="1" ht="12.75">
      <c r="A31" s="731"/>
      <c r="B31" s="534"/>
      <c r="C31" s="739"/>
      <c r="E31" s="641"/>
      <c r="F31" s="226"/>
    </row>
    <row r="32" spans="1:5" s="334" customFormat="1" ht="12.75">
      <c r="A32" s="731"/>
      <c r="E32" s="641"/>
    </row>
    <row r="33" spans="1:6" s="334" customFormat="1" ht="12.75">
      <c r="A33" s="731"/>
      <c r="B33" s="534" t="s">
        <v>17</v>
      </c>
      <c r="E33" s="641"/>
      <c r="F33" s="675" t="s">
        <v>469</v>
      </c>
    </row>
    <row r="34" spans="1:5" s="334" customFormat="1" ht="12.75">
      <c r="A34" s="731"/>
      <c r="E34" s="641"/>
    </row>
    <row r="35" spans="1:6" s="334" customFormat="1" ht="12.75">
      <c r="A35" s="731">
        <v>15</v>
      </c>
      <c r="B35" s="334" t="s">
        <v>333</v>
      </c>
      <c r="C35" s="746"/>
      <c r="E35" s="734">
        <v>622644</v>
      </c>
      <c r="F35" s="334" t="s">
        <v>551</v>
      </c>
    </row>
    <row r="36" spans="1:6" s="334" customFormat="1" ht="12.75">
      <c r="A36" s="731">
        <v>16</v>
      </c>
      <c r="B36" s="334" t="s">
        <v>804</v>
      </c>
      <c r="C36" s="226"/>
      <c r="E36" s="734">
        <v>0</v>
      </c>
      <c r="F36" s="334" t="s">
        <v>551</v>
      </c>
    </row>
    <row r="37" spans="1:5" s="334" customFormat="1" ht="12.75">
      <c r="A37" s="731">
        <v>17</v>
      </c>
      <c r="B37" s="334" t="s">
        <v>805</v>
      </c>
      <c r="C37" s="226"/>
      <c r="E37" s="734">
        <v>212</v>
      </c>
    </row>
    <row r="38" spans="1:7" s="334" customFormat="1" ht="12.75">
      <c r="A38" s="731">
        <v>18</v>
      </c>
      <c r="C38" s="226"/>
      <c r="E38" s="743"/>
      <c r="G38" s="744"/>
    </row>
    <row r="39" spans="1:7" s="334" customFormat="1" ht="12.75">
      <c r="A39" s="731">
        <v>19</v>
      </c>
      <c r="B39" s="534" t="s">
        <v>20</v>
      </c>
      <c r="E39" s="738">
        <f>SUM(E35:E38)</f>
        <v>622856</v>
      </c>
      <c r="F39" s="745">
        <f>'Appendix A'!H30</f>
        <v>0.4639235650515972</v>
      </c>
      <c r="G39" s="738">
        <f>+F39*E39</f>
        <v>288957.5760337776</v>
      </c>
    </row>
    <row r="40" spans="1:5" s="334" customFormat="1" ht="12.75">
      <c r="A40" s="731"/>
      <c r="E40" s="641"/>
    </row>
    <row r="41" spans="1:7" s="334" customFormat="1" ht="12.75">
      <c r="A41" s="731">
        <v>20</v>
      </c>
      <c r="B41" s="534" t="s">
        <v>406</v>
      </c>
      <c r="E41" s="747">
        <f>E21+E30+E39</f>
        <v>11259961</v>
      </c>
      <c r="G41" s="738">
        <f>+G39+G30+G21</f>
        <v>3041661.3506467654</v>
      </c>
    </row>
    <row r="42" spans="1:5" s="334" customFormat="1" ht="12.75">
      <c r="A42" s="731"/>
      <c r="C42" s="264"/>
      <c r="E42" s="641"/>
    </row>
    <row r="43" spans="1:6" s="334" customFormat="1" ht="12.75">
      <c r="A43" s="731"/>
      <c r="C43" s="264"/>
      <c r="E43" s="641"/>
      <c r="F43" s="748"/>
    </row>
    <row r="44" spans="1:5" s="334" customFormat="1" ht="12.75">
      <c r="A44" s="731"/>
      <c r="C44" s="534" t="s">
        <v>21</v>
      </c>
      <c r="E44" s="641"/>
    </row>
    <row r="45" spans="1:10" s="334" customFormat="1" ht="12.75">
      <c r="A45" s="731"/>
      <c r="E45" s="641"/>
      <c r="G45" s="441"/>
      <c r="H45" s="226"/>
      <c r="I45" s="226"/>
      <c r="J45" s="749"/>
    </row>
    <row r="46" spans="1:19" ht="12.75">
      <c r="A46" s="731">
        <v>21</v>
      </c>
      <c r="B46" s="334" t="s">
        <v>649</v>
      </c>
      <c r="C46" s="226"/>
      <c r="D46" s="226"/>
      <c r="E46" s="734">
        <v>88644522</v>
      </c>
      <c r="F46" s="750"/>
      <c r="G46" s="398"/>
      <c r="H46" s="751"/>
      <c r="I46" s="398"/>
      <c r="J46" s="752"/>
      <c r="K46" s="398"/>
      <c r="L46" s="398"/>
      <c r="M46" s="398"/>
      <c r="N46" s="398"/>
      <c r="O46" s="398"/>
      <c r="P46" s="398"/>
      <c r="Q46" s="398"/>
      <c r="R46" s="398"/>
      <c r="S46" s="398"/>
    </row>
    <row r="47" spans="1:19" s="334" customFormat="1" ht="12.75">
      <c r="A47" s="731">
        <v>22</v>
      </c>
      <c r="B47" s="334" t="s">
        <v>650</v>
      </c>
      <c r="C47" s="226"/>
      <c r="D47" s="226"/>
      <c r="E47" s="734">
        <v>203616</v>
      </c>
      <c r="F47" s="328"/>
      <c r="G47" s="226"/>
      <c r="H47" s="264"/>
      <c r="I47" s="226"/>
      <c r="J47" s="749"/>
      <c r="K47" s="226"/>
      <c r="L47" s="226"/>
      <c r="M47" s="226"/>
      <c r="N47" s="226"/>
      <c r="O47" s="226"/>
      <c r="P47" s="226"/>
      <c r="Q47" s="226"/>
      <c r="R47" s="226"/>
      <c r="S47" s="226"/>
    </row>
    <row r="48" spans="1:19" s="334" customFormat="1" ht="12.75">
      <c r="A48" s="731">
        <v>23</v>
      </c>
      <c r="B48" s="865"/>
      <c r="C48" s="226"/>
      <c r="D48" s="226"/>
      <c r="E48" s="734"/>
      <c r="G48" s="226"/>
      <c r="H48" s="264"/>
      <c r="I48" s="226"/>
      <c r="J48" s="749"/>
      <c r="K48" s="226"/>
      <c r="L48" s="226"/>
      <c r="M48" s="226"/>
      <c r="N48" s="226"/>
      <c r="O48" s="226"/>
      <c r="P48" s="226"/>
      <c r="Q48" s="226"/>
      <c r="R48" s="226"/>
      <c r="S48" s="226"/>
    </row>
    <row r="49" spans="1:5" s="334" customFormat="1" ht="12.75">
      <c r="A49" s="731">
        <v>24</v>
      </c>
      <c r="C49" s="733"/>
      <c r="D49" s="226"/>
      <c r="E49" s="734"/>
    </row>
    <row r="50" spans="1:5" s="334" customFormat="1" ht="12.75">
      <c r="A50" s="504">
        <v>25</v>
      </c>
      <c r="B50" s="226"/>
      <c r="C50" s="226"/>
      <c r="D50" s="733"/>
      <c r="E50" s="734"/>
    </row>
    <row r="51" spans="1:6" s="334" customFormat="1" ht="12.75">
      <c r="A51" s="504">
        <v>26</v>
      </c>
      <c r="B51" s="226"/>
      <c r="C51" s="226"/>
      <c r="D51" s="733"/>
      <c r="E51" s="734"/>
      <c r="F51" s="334" t="s">
        <v>363</v>
      </c>
    </row>
    <row r="52" spans="1:5" s="334" customFormat="1" ht="12.75">
      <c r="A52" s="504">
        <v>27</v>
      </c>
      <c r="B52" s="226"/>
      <c r="C52" s="226"/>
      <c r="D52" s="226"/>
      <c r="E52" s="753"/>
    </row>
    <row r="53" spans="1:5" s="334" customFormat="1" ht="12.75">
      <c r="A53" s="731">
        <v>28</v>
      </c>
      <c r="C53" s="441" t="s">
        <v>405</v>
      </c>
      <c r="D53" s="226"/>
      <c r="E53" s="754">
        <f>SUM(E46:E52)</f>
        <v>88848138</v>
      </c>
    </row>
    <row r="54" spans="1:5" s="334" customFormat="1" ht="12.75">
      <c r="A54" s="731"/>
      <c r="C54" s="226"/>
      <c r="D54" s="226"/>
      <c r="E54" s="754"/>
    </row>
    <row r="55" spans="1:5" s="334" customFormat="1" ht="12.75">
      <c r="A55" s="731">
        <v>29</v>
      </c>
      <c r="B55" s="441" t="s">
        <v>614</v>
      </c>
      <c r="C55" s="442"/>
      <c r="D55" s="226"/>
      <c r="E55" s="748">
        <f>E53+E41</f>
        <v>100108099</v>
      </c>
    </row>
    <row r="56" spans="1:6" s="334" customFormat="1" ht="12.75">
      <c r="A56" s="731"/>
      <c r="B56" s="226"/>
      <c r="C56" s="443"/>
      <c r="D56" s="226"/>
      <c r="E56" s="749"/>
      <c r="F56" s="226"/>
    </row>
    <row r="57" spans="1:8" ht="12.75">
      <c r="A57" s="731">
        <v>30</v>
      </c>
      <c r="B57" s="441" t="s">
        <v>687</v>
      </c>
      <c r="C57" s="442"/>
      <c r="D57" s="755"/>
      <c r="E57" s="756">
        <v>100108099</v>
      </c>
      <c r="F57" s="757"/>
      <c r="G57" s="757"/>
      <c r="H57" s="758"/>
    </row>
    <row r="58" spans="2:8" s="334" customFormat="1" ht="12.75">
      <c r="B58" s="226"/>
      <c r="C58" s="396"/>
      <c r="D58" s="396"/>
      <c r="E58" s="1075"/>
      <c r="F58" s="760"/>
      <c r="G58" s="760"/>
      <c r="H58" s="353"/>
    </row>
    <row r="59" spans="1:8" ht="12.75">
      <c r="A59" s="731">
        <v>31</v>
      </c>
      <c r="B59" s="226"/>
      <c r="C59" s="396" t="s">
        <v>621</v>
      </c>
      <c r="D59" s="396"/>
      <c r="E59" s="761">
        <f>+E55-E57</f>
        <v>0</v>
      </c>
      <c r="F59" s="757"/>
      <c r="G59" s="757"/>
      <c r="H59" s="758"/>
    </row>
    <row r="60" spans="1:8" s="334" customFormat="1" ht="12.75">
      <c r="A60" s="505"/>
      <c r="B60" s="398"/>
      <c r="C60" s="759"/>
      <c r="D60" s="759"/>
      <c r="E60" s="762"/>
      <c r="F60" s="760"/>
      <c r="G60" s="760"/>
      <c r="H60" s="353"/>
    </row>
    <row r="61" spans="1:8" ht="12.75">
      <c r="A61" s="334"/>
      <c r="B61" s="226" t="s">
        <v>485</v>
      </c>
      <c r="C61" s="226"/>
      <c r="D61" s="226"/>
      <c r="E61" s="748"/>
      <c r="F61" s="750"/>
      <c r="G61" s="750"/>
      <c r="H61" s="750"/>
    </row>
    <row r="62" spans="1:11" s="334" customFormat="1" ht="12" customHeight="1">
      <c r="A62" s="505"/>
      <c r="B62" s="398" t="s">
        <v>365</v>
      </c>
      <c r="C62" s="226" t="s">
        <v>656</v>
      </c>
      <c r="D62" s="398"/>
      <c r="E62" s="763"/>
      <c r="F62" s="328"/>
      <c r="G62" s="328"/>
      <c r="H62" s="328"/>
      <c r="K62" s="800"/>
    </row>
    <row r="63" spans="1:8" ht="12.75">
      <c r="A63" s="334"/>
      <c r="B63" s="226"/>
      <c r="C63" s="591" t="s">
        <v>657</v>
      </c>
      <c r="D63" s="226"/>
      <c r="E63" s="748"/>
      <c r="F63" s="226"/>
      <c r="G63" s="750"/>
      <c r="H63" s="750"/>
    </row>
    <row r="64" spans="1:8" s="334" customFormat="1" ht="12.75">
      <c r="A64" s="505"/>
      <c r="B64" s="398" t="s">
        <v>477</v>
      </c>
      <c r="C64" s="398" t="s">
        <v>315</v>
      </c>
      <c r="D64" s="398"/>
      <c r="E64" s="763"/>
      <c r="F64" s="398"/>
      <c r="G64" s="328"/>
      <c r="H64" s="328"/>
    </row>
    <row r="65" spans="2:8" ht="12.75">
      <c r="B65" s="226"/>
      <c r="C65" s="591" t="s">
        <v>657</v>
      </c>
      <c r="D65" s="226"/>
      <c r="E65" s="748"/>
      <c r="F65" s="226"/>
      <c r="G65" s="750"/>
      <c r="H65" s="750"/>
    </row>
    <row r="66" spans="2:8" s="334" customFormat="1" ht="12.75">
      <c r="B66" s="398" t="s">
        <v>348</v>
      </c>
      <c r="C66" s="398" t="s">
        <v>726</v>
      </c>
      <c r="D66" s="398"/>
      <c r="E66" s="763"/>
      <c r="F66" s="398"/>
      <c r="G66" s="328"/>
      <c r="H66" s="328"/>
    </row>
    <row r="67" spans="2:8" ht="12.75">
      <c r="B67" s="226" t="s">
        <v>366</v>
      </c>
      <c r="C67" s="591" t="s">
        <v>681</v>
      </c>
      <c r="D67" s="226"/>
      <c r="E67" s="748"/>
      <c r="F67" s="226"/>
      <c r="G67" s="750"/>
      <c r="H67" s="750"/>
    </row>
    <row r="68" spans="2:11" ht="12.75">
      <c r="B68" s="398"/>
      <c r="C68" s="226" t="s">
        <v>683</v>
      </c>
      <c r="D68" s="398"/>
      <c r="E68" s="763"/>
      <c r="F68" s="398"/>
      <c r="G68" s="398"/>
      <c r="H68" s="398"/>
      <c r="K68" s="800"/>
    </row>
    <row r="69" spans="2:3" ht="12.75">
      <c r="B69" s="398"/>
      <c r="C69" s="398" t="s">
        <v>682</v>
      </c>
    </row>
    <row r="70" spans="2:3" ht="12.75">
      <c r="B70" s="398" t="s">
        <v>364</v>
      </c>
      <c r="C70" s="398" t="s">
        <v>543</v>
      </c>
    </row>
    <row r="71" ht="12.75">
      <c r="C71" s="398"/>
    </row>
    <row r="72" ht="12.75">
      <c r="C72" s="398"/>
    </row>
    <row r="73" ht="12.75">
      <c r="C73" s="398"/>
    </row>
    <row r="74" ht="12.75">
      <c r="C74" s="398"/>
    </row>
  </sheetData>
  <sheetProtection/>
  <mergeCells count="2">
    <mergeCell ref="A1:H1"/>
    <mergeCell ref="A3:H3"/>
  </mergeCells>
  <printOptions/>
  <pageMargins left="0.75" right="0.75" top="1" bottom="1" header="0.5" footer="0.5"/>
  <pageSetup fitToHeight="1" fitToWidth="1" horizontalDpi="600" verticalDpi="600" orientation="portrait" scale="67" r:id="rId1"/>
  <headerFooter alignWithMargins="0">
    <oddHeader>&amp;R&amp;12Exhibit 1
Page &amp;P of &amp;N</oddHeader>
  </headerFooter>
</worksheet>
</file>

<file path=xl/worksheets/sheet4.xml><?xml version="1.0" encoding="utf-8"?>
<worksheet xmlns="http://schemas.openxmlformats.org/spreadsheetml/2006/main" xmlns:r="http://schemas.openxmlformats.org/officeDocument/2006/relationships">
  <sheetPr codeName="Sheet4">
    <tabColor rgb="FF92D050"/>
    <pageSetUpPr fitToPage="1"/>
  </sheetPr>
  <dimension ref="A1:BW35"/>
  <sheetViews>
    <sheetView showGridLines="0" zoomScale="75" zoomScaleNormal="75" workbookViewId="0" topLeftCell="A1">
      <selection activeCell="A1" sqref="A1:D1"/>
    </sheetView>
  </sheetViews>
  <sheetFormatPr defaultColWidth="9.140625" defaultRowHeight="12.75"/>
  <cols>
    <col min="1" max="1" width="4.140625" style="223" customWidth="1"/>
    <col min="2" max="2" width="76.8515625" style="0" customWidth="1"/>
    <col min="3" max="3" width="18.8515625" style="0" bestFit="1" customWidth="1"/>
    <col min="4" max="4" width="14.00390625" style="335" bestFit="1" customWidth="1"/>
    <col min="5" max="5" width="15.00390625" style="0" bestFit="1" customWidth="1"/>
    <col min="6" max="6" width="10.8515625" style="0" bestFit="1" customWidth="1"/>
    <col min="7" max="75" width="9.140625" style="0" customWidth="1"/>
  </cols>
  <sheetData>
    <row r="1" spans="1:4" ht="18">
      <c r="A1" s="1079" t="str">
        <f>+'Appendix A'!A3</f>
        <v>PPL Electric Utilities Corporation</v>
      </c>
      <c r="B1" s="1079"/>
      <c r="C1" s="1079"/>
      <c r="D1" s="1079"/>
    </row>
    <row r="2" spans="1:20" ht="20.25">
      <c r="A2" s="399"/>
      <c r="B2" s="615"/>
      <c r="C2" s="2"/>
      <c r="D2" s="613"/>
      <c r="E2" s="614"/>
      <c r="F2" s="614"/>
      <c r="G2" s="614"/>
      <c r="H2" s="614"/>
      <c r="I2" s="614"/>
      <c r="J2" s="2"/>
      <c r="K2" s="2"/>
      <c r="L2" s="2"/>
      <c r="M2" s="2"/>
      <c r="N2" s="2"/>
      <c r="O2" s="2"/>
      <c r="P2" s="2"/>
      <c r="Q2" s="2"/>
      <c r="R2" s="2"/>
      <c r="S2" s="2"/>
      <c r="T2" s="2"/>
    </row>
    <row r="3" spans="1:4" ht="18">
      <c r="A3" s="1079" t="s">
        <v>390</v>
      </c>
      <c r="B3" s="1116"/>
      <c r="C3" s="1116"/>
      <c r="D3" s="1116"/>
    </row>
    <row r="4" spans="2:5" ht="12.75">
      <c r="B4" s="139"/>
      <c r="C4" s="223"/>
      <c r="E4" s="223"/>
    </row>
    <row r="5" spans="2:5" ht="12.75">
      <c r="B5" s="139"/>
      <c r="C5" s="223"/>
      <c r="E5" s="223"/>
    </row>
    <row r="6" spans="2:5" ht="12.75">
      <c r="B6" s="329"/>
      <c r="C6" s="223"/>
      <c r="E6" s="223"/>
    </row>
    <row r="7" ht="12.75">
      <c r="B7" s="330" t="s">
        <v>260</v>
      </c>
    </row>
    <row r="8" spans="1:7" ht="12.75">
      <c r="A8" s="223">
        <v>1</v>
      </c>
      <c r="B8" s="357" t="s">
        <v>570</v>
      </c>
      <c r="C8" s="223"/>
      <c r="D8" s="620">
        <v>2338622</v>
      </c>
      <c r="E8" s="2"/>
      <c r="F8" s="356"/>
      <c r="G8" s="224"/>
    </row>
    <row r="9" spans="2:7" ht="12.75">
      <c r="B9" s="390"/>
      <c r="C9" s="390"/>
      <c r="D9" s="337"/>
      <c r="G9" s="227"/>
    </row>
    <row r="10" spans="1:75" s="537" customFormat="1" ht="12.75">
      <c r="A10" s="440"/>
      <c r="B10" s="592" t="s">
        <v>173</v>
      </c>
      <c r="C10" s="390"/>
      <c r="D10" s="340"/>
      <c r="E10" s="2"/>
      <c r="F10" s="2"/>
      <c r="G10" s="593"/>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row>
    <row r="11" spans="1:75" s="537" customFormat="1" ht="12.75">
      <c r="A11" s="440">
        <f>A8+1</f>
        <v>2</v>
      </c>
      <c r="B11" s="333" t="s">
        <v>626</v>
      </c>
      <c r="C11" s="223"/>
      <c r="D11" s="621">
        <v>0</v>
      </c>
      <c r="E11" s="2"/>
      <c r="F11" s="2"/>
      <c r="G11" s="593"/>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row>
    <row r="12" spans="1:75" s="537" customFormat="1" ht="12.75">
      <c r="A12" s="440">
        <v>3</v>
      </c>
      <c r="B12" s="333" t="s">
        <v>566</v>
      </c>
      <c r="C12" s="223"/>
      <c r="D12" s="621">
        <v>95753999</v>
      </c>
      <c r="E12" s="2"/>
      <c r="F12" s="2"/>
      <c r="G12" s="593"/>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row>
    <row r="13" spans="1:7" ht="12.75">
      <c r="A13" s="440">
        <f>A12+1</f>
        <v>4</v>
      </c>
      <c r="B13" s="357" t="s">
        <v>370</v>
      </c>
      <c r="C13" s="224"/>
      <c r="D13" s="620">
        <v>2664766</v>
      </c>
      <c r="E13" s="2"/>
      <c r="F13" s="2"/>
      <c r="G13" s="224"/>
    </row>
    <row r="14" spans="1:10" ht="25.5">
      <c r="A14" s="433">
        <f aca="true" t="shared" si="0" ref="A14:A19">+A13+1</f>
        <v>5</v>
      </c>
      <c r="B14" s="733" t="s">
        <v>562</v>
      </c>
      <c r="C14" s="224"/>
      <c r="D14" s="621">
        <v>0</v>
      </c>
      <c r="E14" s="2"/>
      <c r="G14" s="535"/>
      <c r="H14" s="2"/>
      <c r="I14" s="2"/>
      <c r="J14" s="2"/>
    </row>
    <row r="15" spans="1:10" ht="12.75">
      <c r="A15" s="440">
        <f t="shared" si="0"/>
        <v>6</v>
      </c>
      <c r="B15" s="1117" t="s">
        <v>1</v>
      </c>
      <c r="C15" s="224"/>
      <c r="D15" s="533">
        <v>2652956</v>
      </c>
      <c r="G15" s="535"/>
      <c r="H15" s="2"/>
      <c r="I15" s="2"/>
      <c r="J15" s="2"/>
    </row>
    <row r="16" spans="2:10" ht="12.75">
      <c r="B16" s="1118"/>
      <c r="C16" s="225"/>
      <c r="D16" s="339"/>
      <c r="E16" s="2"/>
      <c r="F16" s="2"/>
      <c r="G16" s="536"/>
      <c r="H16" s="2"/>
      <c r="I16" s="2"/>
      <c r="J16" s="2"/>
    </row>
    <row r="17" spans="2:10" ht="12.75">
      <c r="B17" s="390"/>
      <c r="C17" s="224"/>
      <c r="D17" s="338"/>
      <c r="E17" s="2"/>
      <c r="F17" s="328"/>
      <c r="G17" s="535"/>
      <c r="H17" s="2"/>
      <c r="I17" s="2"/>
      <c r="J17" s="2"/>
    </row>
    <row r="18" spans="1:7" ht="12.75">
      <c r="A18" s="223">
        <f>+A15+1</f>
        <v>7</v>
      </c>
      <c r="B18" s="333" t="s">
        <v>563</v>
      </c>
      <c r="C18" s="333"/>
      <c r="D18" s="336">
        <v>3212374</v>
      </c>
      <c r="E18" s="2"/>
      <c r="G18" s="228"/>
    </row>
    <row r="19" spans="1:4" ht="12.75">
      <c r="A19" s="223">
        <f t="shared" si="0"/>
        <v>8</v>
      </c>
      <c r="B19" s="333" t="s">
        <v>567</v>
      </c>
      <c r="C19" s="226"/>
      <c r="D19" s="336">
        <v>646644</v>
      </c>
    </row>
    <row r="20" spans="2:5" ht="12.75">
      <c r="B20" s="227"/>
      <c r="C20" s="226"/>
      <c r="D20" s="336"/>
      <c r="E20" s="2"/>
    </row>
    <row r="21" spans="1:28" ht="13.5" thickBot="1">
      <c r="A21" s="223">
        <f>A19+1</f>
        <v>9</v>
      </c>
      <c r="B21" s="227" t="s">
        <v>316</v>
      </c>
      <c r="C21" s="334" t="s">
        <v>564</v>
      </c>
      <c r="D21" s="932">
        <f>SUM(D6:D19)</f>
        <v>107269361</v>
      </c>
      <c r="E21" s="2"/>
      <c r="F21" s="2"/>
      <c r="G21" s="2"/>
      <c r="H21" s="2"/>
      <c r="I21" s="2"/>
      <c r="J21" s="2"/>
      <c r="K21" s="2"/>
      <c r="L21" s="2"/>
      <c r="M21" s="2"/>
      <c r="N21" s="2"/>
      <c r="O21" s="2"/>
      <c r="P21" s="2"/>
      <c r="Q21" s="2"/>
      <c r="R21" s="2"/>
      <c r="S21" s="2"/>
      <c r="T21" s="2"/>
      <c r="U21" s="2"/>
      <c r="V21" s="2"/>
      <c r="W21" s="2"/>
      <c r="X21" s="2"/>
      <c r="Y21" s="2"/>
      <c r="Z21" s="2"/>
      <c r="AA21" s="2"/>
      <c r="AB21" s="2"/>
    </row>
    <row r="22" spans="1:5" ht="13.5" thickTop="1">
      <c r="A22" s="503"/>
      <c r="B22" s="506"/>
      <c r="C22" s="505"/>
      <c r="D22" s="355"/>
      <c r="E22" s="2"/>
    </row>
    <row r="23" spans="1:5" ht="12.75">
      <c r="A23" s="503">
        <f>A21+1</f>
        <v>10</v>
      </c>
      <c r="B23" s="398" t="s">
        <v>47</v>
      </c>
      <c r="C23" s="398"/>
      <c r="D23" s="511">
        <f>D14</f>
        <v>0</v>
      </c>
      <c r="E23" s="2"/>
    </row>
    <row r="24" spans="1:5" ht="12.75">
      <c r="A24" s="503"/>
      <c r="B24" s="398"/>
      <c r="C24" s="398"/>
      <c r="D24" s="355"/>
      <c r="E24" s="2"/>
    </row>
    <row r="25" spans="1:5" ht="57.75" customHeight="1">
      <c r="A25" s="508">
        <f>A23+1</f>
        <v>11</v>
      </c>
      <c r="B25" s="918" t="s">
        <v>565</v>
      </c>
      <c r="C25" s="505"/>
      <c r="D25" s="507"/>
      <c r="E25" s="622"/>
    </row>
    <row r="26" spans="1:5" ht="12.75">
      <c r="A26" s="508"/>
      <c r="B26" s="333"/>
      <c r="C26" s="505"/>
      <c r="D26" s="507"/>
      <c r="E26" s="2"/>
    </row>
    <row r="27" spans="1:5" ht="54.75" customHeight="1">
      <c r="A27" s="508">
        <f>A25+1</f>
        <v>12</v>
      </c>
      <c r="B27" s="918" t="s">
        <v>560</v>
      </c>
      <c r="C27" s="235"/>
      <c r="D27" s="397"/>
      <c r="E27" s="622"/>
    </row>
    <row r="28" spans="1:7" ht="12.75">
      <c r="A28" s="504"/>
      <c r="B28" s="226"/>
      <c r="C28" s="505"/>
      <c r="D28" s="509"/>
      <c r="E28" s="2"/>
      <c r="F28" s="2"/>
      <c r="G28" s="2"/>
    </row>
    <row r="29" spans="1:5" ht="74.25" customHeight="1">
      <c r="A29" s="508">
        <f>A27+1</f>
        <v>13</v>
      </c>
      <c r="B29" s="918" t="s">
        <v>584</v>
      </c>
      <c r="C29" s="510"/>
      <c r="D29" s="397"/>
      <c r="E29" s="622"/>
    </row>
    <row r="30" spans="1:5" ht="12.75">
      <c r="A30" s="440"/>
      <c r="B30" s="2"/>
      <c r="D30" s="340"/>
      <c r="E30" s="2"/>
    </row>
    <row r="31" spans="1:5" ht="12.75">
      <c r="A31" s="440"/>
      <c r="B31" s="2"/>
      <c r="D31" s="340"/>
      <c r="E31" s="354"/>
    </row>
    <row r="32" spans="4:5" ht="12.75">
      <c r="D32" s="341"/>
      <c r="E32" s="223"/>
    </row>
    <row r="33" spans="3:7" ht="12.75">
      <c r="C33" s="226"/>
      <c r="D33" s="500"/>
      <c r="E33" s="355"/>
      <c r="F33" s="332"/>
      <c r="G33" s="332"/>
    </row>
    <row r="34" spans="2:4" ht="12.75">
      <c r="B34" s="508"/>
      <c r="C34" s="918"/>
      <c r="D34" s="340"/>
    </row>
    <row r="35" ht="12.75">
      <c r="D35" s="340"/>
    </row>
  </sheetData>
  <sheetProtection/>
  <mergeCells count="3">
    <mergeCell ref="A3:D3"/>
    <mergeCell ref="A1:D1"/>
    <mergeCell ref="B15:B16"/>
  </mergeCells>
  <printOptions horizontalCentered="1"/>
  <pageMargins left="0.5" right="0.5" top="1" bottom="1" header="0.5" footer="0.5"/>
  <pageSetup fitToHeight="1" fitToWidth="1" horizontalDpi="600" verticalDpi="600" orientation="portrait" scale="85" r:id="rId1"/>
  <headerFooter alignWithMargins="0">
    <oddHeader xml:space="preserve">&amp;R&amp;12Exhibit 1
Page &amp;P of &amp;N  </oddHeader>
  </headerFooter>
</worksheet>
</file>

<file path=xl/worksheets/sheet5.xml><?xml version="1.0" encoding="utf-8"?>
<worksheet xmlns="http://schemas.openxmlformats.org/spreadsheetml/2006/main" xmlns:r="http://schemas.openxmlformats.org/officeDocument/2006/relationships">
  <sheetPr codeName="Sheet5">
    <tabColor rgb="FF92D050"/>
    <pageSetUpPr fitToPage="1"/>
  </sheetPr>
  <dimension ref="A1:J2252"/>
  <sheetViews>
    <sheetView showGridLines="0" zoomScale="70" zoomScaleNormal="70" workbookViewId="0" topLeftCell="A1">
      <selection activeCell="A1" sqref="A1:I1"/>
    </sheetView>
  </sheetViews>
  <sheetFormatPr defaultColWidth="9.140625" defaultRowHeight="12.75"/>
  <cols>
    <col min="1" max="1" width="9.28125" style="0" bestFit="1" customWidth="1"/>
    <col min="2" max="2" width="3.00390625" style="0" customWidth="1"/>
    <col min="3" max="3" width="8.140625" style="0" customWidth="1"/>
    <col min="4" max="4" width="38.7109375" style="0" customWidth="1"/>
    <col min="5" max="5" width="28.7109375" style="0" customWidth="1"/>
    <col min="6" max="6" width="34.28125" style="0" bestFit="1" customWidth="1"/>
    <col min="7" max="7" width="37.140625" style="0" bestFit="1" customWidth="1"/>
    <col min="8" max="8" width="3.8515625" style="0" customWidth="1"/>
    <col min="9" max="9" width="18.00390625" style="0" customWidth="1"/>
    <col min="10" max="10" width="9.140625" style="0" customWidth="1"/>
  </cols>
  <sheetData>
    <row r="1" spans="1:9" ht="18">
      <c r="A1" s="1079" t="str">
        <f>+'Appendix A'!A3</f>
        <v>PPL Electric Utilities Corporation</v>
      </c>
      <c r="B1" s="1079"/>
      <c r="C1" s="1079"/>
      <c r="D1" s="1079"/>
      <c r="E1" s="1079"/>
      <c r="F1" s="1079"/>
      <c r="G1" s="1079"/>
      <c r="H1" s="1108"/>
      <c r="I1" s="1108"/>
    </row>
    <row r="2" spans="1:7" ht="18">
      <c r="A2" s="235"/>
      <c r="B2" s="322"/>
      <c r="C2" s="322"/>
      <c r="D2" s="322"/>
      <c r="E2" s="322"/>
      <c r="F2" s="322"/>
      <c r="G2" s="525"/>
    </row>
    <row r="3" spans="1:9" ht="18">
      <c r="A3" s="1079" t="s">
        <v>188</v>
      </c>
      <c r="B3" s="1079"/>
      <c r="C3" s="1079"/>
      <c r="D3" s="1079"/>
      <c r="E3" s="1079"/>
      <c r="F3" s="1079"/>
      <c r="G3" s="1079"/>
      <c r="H3" s="1112"/>
      <c r="I3" s="1112"/>
    </row>
    <row r="4" ht="12.75"/>
    <row r="5" s="50" customFormat="1" ht="15">
      <c r="B5" s="235"/>
    </row>
    <row r="6" s="50" customFormat="1" ht="15"/>
    <row r="7" s="50" customFormat="1" ht="15"/>
    <row r="8" s="50" customFormat="1" ht="15">
      <c r="C8" s="50" t="s">
        <v>183</v>
      </c>
    </row>
    <row r="9" spans="1:9" s="50" customFormat="1" ht="15">
      <c r="A9" s="92" t="s">
        <v>365</v>
      </c>
      <c r="B9" s="92"/>
      <c r="D9" s="50" t="s">
        <v>184</v>
      </c>
      <c r="G9" s="42" t="str">
        <f>"Line "&amp;A55&amp;" + Line "&amp;A77&amp;" from below"</f>
        <v>Line 29 + Line 39 from below</v>
      </c>
      <c r="I9" s="148">
        <f>+I55+I77</f>
        <v>360256432.7704184</v>
      </c>
    </row>
    <row r="10" spans="1:7" s="50" customFormat="1" ht="15">
      <c r="A10" s="92"/>
      <c r="B10" s="92"/>
      <c r="G10" s="55"/>
    </row>
    <row r="11" spans="1:9" s="50" customFormat="1" ht="15">
      <c r="A11" s="92" t="s">
        <v>477</v>
      </c>
      <c r="B11" s="92"/>
      <c r="D11" s="50" t="str">
        <f>I11*10000&amp;" Basis Point increase in ROE"</f>
        <v>100 Basis Point increase in ROE</v>
      </c>
      <c r="I11" s="250">
        <v>0.01</v>
      </c>
    </row>
    <row r="12" spans="1:8" s="55" customFormat="1" ht="15">
      <c r="A12" s="92"/>
      <c r="B12" s="92"/>
      <c r="C12" s="50"/>
      <c r="D12" s="50"/>
      <c r="E12" s="50"/>
      <c r="F12" s="50"/>
      <c r="G12" s="50"/>
      <c r="H12" s="50"/>
    </row>
    <row r="13" spans="1:9" s="55" customFormat="1" ht="15.75">
      <c r="A13" s="312" t="s">
        <v>253</v>
      </c>
      <c r="B13" s="125"/>
      <c r="C13" s="125"/>
      <c r="D13" s="125"/>
      <c r="E13" s="125"/>
      <c r="F13" s="125"/>
      <c r="G13" s="125"/>
      <c r="H13" s="125"/>
      <c r="I13" s="125"/>
    </row>
    <row r="14" spans="1:7" s="55" customFormat="1" ht="15.75">
      <c r="A14" s="447"/>
      <c r="G14" s="448" t="s">
        <v>420</v>
      </c>
    </row>
    <row r="15" spans="1:10" s="50" customFormat="1" ht="15">
      <c r="A15" s="55"/>
      <c r="D15" s="55"/>
      <c r="E15" s="55"/>
      <c r="F15" s="55"/>
      <c r="G15" s="55"/>
      <c r="H15" s="55"/>
      <c r="I15" s="446"/>
      <c r="J15" s="55"/>
    </row>
    <row r="16" spans="1:10" s="50" customFormat="1" ht="15.75">
      <c r="A16" s="94">
        <v>1</v>
      </c>
      <c r="C16" s="606" t="str">
        <f>+'Appendix A'!B89</f>
        <v>Rate Base</v>
      </c>
      <c r="D16" s="66"/>
      <c r="E16" s="55"/>
      <c r="F16" s="66"/>
      <c r="G16" s="80" t="str">
        <f>"(Attachment A Line "&amp;'Appendix A'!A89&amp;")"</f>
        <v>(Attachment A Line 46)</v>
      </c>
      <c r="H16" s="66"/>
      <c r="I16" s="400">
        <f>+'Appendix A'!H89</f>
        <v>2648059101.3094063</v>
      </c>
      <c r="J16" s="55"/>
    </row>
    <row r="17" spans="1:9" s="50" customFormat="1" ht="15">
      <c r="A17" s="55"/>
      <c r="G17" s="66"/>
      <c r="I17" s="248"/>
    </row>
    <row r="18" spans="1:8" s="50" customFormat="1" ht="15.75">
      <c r="A18" s="55"/>
      <c r="B18" s="67"/>
      <c r="C18" s="478" t="str">
        <f>'Appendix A'!B146</f>
        <v>Long Term Interest</v>
      </c>
      <c r="D18" s="85"/>
      <c r="E18" s="37"/>
      <c r="F18" s="32"/>
      <c r="G18" s="861"/>
      <c r="H18" s="25"/>
    </row>
    <row r="19" spans="1:9" s="50" customFormat="1" ht="15">
      <c r="A19" s="29">
        <f>A16+1</f>
        <v>2</v>
      </c>
      <c r="B19" s="67"/>
      <c r="C19" s="155"/>
      <c r="D19" s="155" t="str">
        <f>'Appendix A'!C147</f>
        <v>Long Term Interest</v>
      </c>
      <c r="E19" s="37"/>
      <c r="F19" s="32"/>
      <c r="G19" s="80" t="str">
        <f>"(Attachment A Line "&amp;'Appendix A'!A147&amp;")"</f>
        <v>(Attachment A Line 80)</v>
      </c>
      <c r="H19" s="25"/>
      <c r="I19" s="400">
        <f>'Appendix A'!H147</f>
        <v>132254128</v>
      </c>
    </row>
    <row r="20" spans="1:9" s="50" customFormat="1" ht="15.75">
      <c r="A20" s="29">
        <f>A19+1</f>
        <v>3</v>
      </c>
      <c r="B20" s="67"/>
      <c r="C20" s="155"/>
      <c r="D20" s="343" t="str">
        <f>'Appendix A'!C148</f>
        <v>    Less LTD Interest on Securitization Bonds</v>
      </c>
      <c r="E20" s="241"/>
      <c r="F20" s="603"/>
      <c r="G20" s="343" t="str">
        <f>'Appendix A'!F148</f>
        <v>Attachment 8</v>
      </c>
      <c r="H20" s="109"/>
      <c r="I20" s="602">
        <f>'Appendix A'!H148</f>
        <v>0</v>
      </c>
    </row>
    <row r="21" spans="1:9" s="50" customFormat="1" ht="15.75">
      <c r="A21" s="29">
        <v>4</v>
      </c>
      <c r="B21" s="67"/>
      <c r="C21" s="155"/>
      <c r="D21" s="155" t="str">
        <f>'Appendix A'!C149</f>
        <v>Long Term Interest</v>
      </c>
      <c r="E21" s="37"/>
      <c r="F21" s="85"/>
      <c r="G21" s="42" t="str">
        <f>"(Line "&amp;A19&amp;" - Line "&amp;A20&amp;")"</f>
        <v>(Line 2 - Line 3)</v>
      </c>
      <c r="H21" s="25"/>
      <c r="I21" s="400">
        <f>'Appendix A'!H149</f>
        <v>132254128</v>
      </c>
    </row>
    <row r="22" spans="1:9" s="50" customFormat="1" ht="15">
      <c r="A22" s="29"/>
      <c r="B22" s="67"/>
      <c r="C22" s="4"/>
      <c r="D22" s="51"/>
      <c r="E22" s="10"/>
      <c r="F22" s="5"/>
      <c r="G22" s="347"/>
      <c r="H22" s="5"/>
      <c r="I22" s="400"/>
    </row>
    <row r="23" spans="1:9" s="50" customFormat="1" ht="15.75">
      <c r="A23" s="77">
        <v>5</v>
      </c>
      <c r="B23" s="67"/>
      <c r="C23" s="606" t="str">
        <f>'Appendix A'!B151</f>
        <v>Preferred Dividends</v>
      </c>
      <c r="D23" s="270"/>
      <c r="F23" s="10" t="str">
        <f>'Appendix A'!E151</f>
        <v> enter positive</v>
      </c>
      <c r="G23" s="271" t="str">
        <f>'Appendix A'!F151</f>
        <v>p118.29.c</v>
      </c>
      <c r="H23" s="5"/>
      <c r="I23" s="42">
        <f>+'Appendix A'!H151</f>
        <v>0</v>
      </c>
    </row>
    <row r="24" spans="1:9" s="50" customFormat="1" ht="15">
      <c r="A24" s="29"/>
      <c r="B24" s="67"/>
      <c r="C24" s="4"/>
      <c r="D24" s="51"/>
      <c r="E24" s="10"/>
      <c r="F24" s="3"/>
      <c r="G24" s="271"/>
      <c r="H24" s="5"/>
      <c r="I24" s="11"/>
    </row>
    <row r="25" spans="1:9" s="50" customFormat="1" ht="15.75">
      <c r="A25" s="29"/>
      <c r="B25" s="67"/>
      <c r="C25" s="103" t="str">
        <f>'Appendix A'!B153</f>
        <v>Common Stock</v>
      </c>
      <c r="D25" s="103"/>
      <c r="E25" s="10"/>
      <c r="F25" s="32"/>
      <c r="G25" s="271"/>
      <c r="H25" s="5"/>
      <c r="I25" s="11"/>
    </row>
    <row r="26" spans="1:9" s="50" customFormat="1" ht="15">
      <c r="A26" s="29">
        <f>A23+1</f>
        <v>6</v>
      </c>
      <c r="B26" s="67"/>
      <c r="C26" s="67"/>
      <c r="D26" s="51" t="str">
        <f>'Appendix A'!C154</f>
        <v>Proprietary Capital</v>
      </c>
      <c r="E26" s="5"/>
      <c r="F26" s="5"/>
      <c r="G26" s="271" t="str">
        <f>'Appendix A'!F154</f>
        <v>p112.16.c</v>
      </c>
      <c r="H26" s="5"/>
      <c r="I26" s="42">
        <f>+'Appendix A'!H154</f>
        <v>3119421382</v>
      </c>
    </row>
    <row r="27" spans="1:9" s="50" customFormat="1" ht="15">
      <c r="A27" s="29">
        <v>7</v>
      </c>
      <c r="B27" s="67"/>
      <c r="C27" s="67"/>
      <c r="D27" s="11" t="s">
        <v>574</v>
      </c>
      <c r="E27" s="11"/>
      <c r="F27" s="28"/>
      <c r="G27" s="11" t="s">
        <v>575</v>
      </c>
      <c r="H27" s="5"/>
      <c r="I27" s="11">
        <f>'Appendix A'!H155</f>
        <v>0</v>
      </c>
    </row>
    <row r="28" spans="1:9" s="50" customFormat="1" ht="15">
      <c r="A28" s="29">
        <v>8</v>
      </c>
      <c r="B28" s="67"/>
      <c r="C28" s="67"/>
      <c r="D28" s="53" t="str">
        <f>'Appendix A'!C156</f>
        <v>    Less Preferred Stock</v>
      </c>
      <c r="F28" s="11"/>
      <c r="G28" s="80" t="str">
        <f>"(Attachment A Line "&amp;'Appendix A'!A156&amp;")"</f>
        <v>(Attachment A Line 86)</v>
      </c>
      <c r="H28" s="5"/>
      <c r="I28" s="11">
        <f>'Appendix A'!H156</f>
        <v>0</v>
      </c>
    </row>
    <row r="29" spans="1:9" s="50" customFormat="1" ht="15">
      <c r="A29" s="29">
        <v>9</v>
      </c>
      <c r="B29" s="67"/>
      <c r="C29" s="67"/>
      <c r="D29" s="150" t="str">
        <f>'Appendix A'!C157</f>
        <v>    Less Account 216.1</v>
      </c>
      <c r="E29" s="249"/>
      <c r="F29" s="111"/>
      <c r="G29" s="862" t="str">
        <f>'Appendix A'!F157</f>
        <v>p112.12.c</v>
      </c>
      <c r="H29" s="109"/>
      <c r="I29" s="111">
        <f>+'Appendix A'!H157</f>
        <v>109244</v>
      </c>
    </row>
    <row r="30" spans="1:9" s="50" customFormat="1" ht="15">
      <c r="A30" s="29">
        <v>10</v>
      </c>
      <c r="B30" s="67"/>
      <c r="C30" s="67"/>
      <c r="D30" s="53" t="str">
        <f>'Appendix A'!C158</f>
        <v>Common Stock</v>
      </c>
      <c r="F30" s="42"/>
      <c r="G30" s="54" t="str">
        <f>"(Line "&amp;A26&amp;" - "&amp;A27&amp;" - "&amp;A28&amp;" - "&amp;A29&amp;")"</f>
        <v>(Line 6 - 7 - 8 - 9)</v>
      </c>
      <c r="H30" s="127"/>
      <c r="I30" s="5">
        <f>I26-I27-I28-I29</f>
        <v>3119312138</v>
      </c>
    </row>
    <row r="31" spans="1:9" s="50" customFormat="1" ht="15">
      <c r="A31" s="29"/>
      <c r="B31" s="67"/>
      <c r="C31" s="4"/>
      <c r="D31" s="51"/>
      <c r="F31" s="10"/>
      <c r="G31" s="271"/>
      <c r="H31" s="32"/>
      <c r="I31" s="11"/>
    </row>
    <row r="32" spans="1:9" s="50" customFormat="1" ht="15.75">
      <c r="A32" s="29"/>
      <c r="B32" s="67"/>
      <c r="C32" s="103" t="str">
        <f>'Appendix A'!B160</f>
        <v>Capitalization</v>
      </c>
      <c r="D32" s="103"/>
      <c r="F32" s="10"/>
      <c r="G32" s="271"/>
      <c r="H32" s="32"/>
      <c r="I32" s="11"/>
    </row>
    <row r="33" spans="1:9" s="50" customFormat="1" ht="15">
      <c r="A33" s="29">
        <f>A30+1</f>
        <v>11</v>
      </c>
      <c r="B33" s="67"/>
      <c r="C33" s="67"/>
      <c r="D33" s="51" t="str">
        <f>'Appendix A'!C161</f>
        <v>Long Term Debt</v>
      </c>
      <c r="F33" s="10"/>
      <c r="G33" s="155" t="str">
        <f>'Appendix A'!F161</f>
        <v>p112.18.c, 19.c &amp; 21.c</v>
      </c>
      <c r="H33" s="32"/>
      <c r="I33" s="42">
        <f>+'Appendix A'!H161</f>
        <v>2863750000</v>
      </c>
    </row>
    <row r="34" spans="1:9" s="50" customFormat="1" ht="15">
      <c r="A34" s="29">
        <f aca="true" t="shared" si="0" ref="A34:A40">A33+1</f>
        <v>12</v>
      </c>
      <c r="B34" s="67"/>
      <c r="C34" s="67"/>
      <c r="D34" s="51" t="str">
        <f>'Appendix A'!C162</f>
        <v>      Less Loss on Reacquired Debt </v>
      </c>
      <c r="F34" s="10"/>
      <c r="G34" s="271" t="str">
        <f>'Appendix A'!F162</f>
        <v>p111.81.c</v>
      </c>
      <c r="H34" s="32"/>
      <c r="I34" s="42">
        <f>+'Appendix A'!H162</f>
        <v>42257723</v>
      </c>
    </row>
    <row r="35" spans="1:9" s="50" customFormat="1" ht="15">
      <c r="A35" s="29">
        <f t="shared" si="0"/>
        <v>13</v>
      </c>
      <c r="B35" s="66"/>
      <c r="C35" s="66"/>
      <c r="D35" s="53" t="str">
        <f>'Appendix A'!C163</f>
        <v>      Plus Gain on Reacquired Debt</v>
      </c>
      <c r="F35" s="27"/>
      <c r="G35" s="155" t="str">
        <f>'Appendix A'!F163</f>
        <v>p113.61.c</v>
      </c>
      <c r="H35" s="54"/>
      <c r="I35" s="42">
        <f>+'Appendix A'!H163</f>
        <v>0</v>
      </c>
    </row>
    <row r="36" spans="1:9" s="50" customFormat="1" ht="15">
      <c r="A36" s="29">
        <f>A35+1</f>
        <v>14</v>
      </c>
      <c r="B36" s="66"/>
      <c r="C36" s="66"/>
      <c r="D36" s="150" t="str">
        <f>'Appendix A'!C164</f>
        <v>      Less LTD on Securitization Bonds</v>
      </c>
      <c r="F36" s="27"/>
      <c r="G36" s="343" t="str">
        <f>'Appendix A'!F164</f>
        <v>Attachment 8</v>
      </c>
      <c r="H36" s="54"/>
      <c r="I36" s="42">
        <f>+'Appendix A'!H164</f>
        <v>0</v>
      </c>
    </row>
    <row r="37" spans="1:9" s="50" customFormat="1" ht="15">
      <c r="A37" s="29">
        <f t="shared" si="0"/>
        <v>15</v>
      </c>
      <c r="B37" s="66"/>
      <c r="C37" s="66"/>
      <c r="D37" s="53" t="str">
        <f>'Appendix A'!C165</f>
        <v>Total Long Term Debt</v>
      </c>
      <c r="E37" s="392"/>
      <c r="F37" s="47"/>
      <c r="G37" s="54" t="str">
        <f>"(Line "&amp;A33&amp;" - "&amp;A34&amp;" + "&amp;A35&amp;" - "&amp;A36&amp;")"</f>
        <v>(Line 11 - 12 + 13 - 14)</v>
      </c>
      <c r="H37" s="56"/>
      <c r="I37" s="59">
        <f>I33-I34+I35-I36</f>
        <v>2821492277</v>
      </c>
    </row>
    <row r="38" spans="1:9" s="50" customFormat="1" ht="15">
      <c r="A38" s="29">
        <f t="shared" si="0"/>
        <v>16</v>
      </c>
      <c r="B38" s="66"/>
      <c r="C38" s="66"/>
      <c r="D38" s="53" t="str">
        <f>'Appendix A'!C166</f>
        <v>Preferred Stock</v>
      </c>
      <c r="E38" s="27"/>
      <c r="F38" s="26"/>
      <c r="G38" s="155" t="str">
        <f>'Appendix A'!F166</f>
        <v>p112.3.c</v>
      </c>
      <c r="H38" s="54"/>
      <c r="I38" s="42">
        <f>+'Appendix A'!H166</f>
        <v>0</v>
      </c>
    </row>
    <row r="39" spans="1:9" s="50" customFormat="1" ht="15">
      <c r="A39" s="29">
        <f t="shared" si="0"/>
        <v>17</v>
      </c>
      <c r="B39" s="67"/>
      <c r="C39" s="67"/>
      <c r="D39" s="97" t="str">
        <f>'Appendix A'!C167</f>
        <v>Common Stock</v>
      </c>
      <c r="E39" s="101"/>
      <c r="F39" s="3"/>
      <c r="G39" s="196" t="str">
        <f>"(Line "&amp;A30&amp;")"</f>
        <v>(Line 10)</v>
      </c>
      <c r="H39" s="32"/>
      <c r="I39" s="42">
        <f>I30</f>
        <v>3119312138</v>
      </c>
    </row>
    <row r="40" spans="1:9" s="50" customFormat="1" ht="15.75">
      <c r="A40" s="29">
        <f t="shared" si="0"/>
        <v>18</v>
      </c>
      <c r="B40" s="67"/>
      <c r="C40" s="67"/>
      <c r="D40" s="51" t="str">
        <f>'Appendix A'!C168</f>
        <v>Total  Capitalization</v>
      </c>
      <c r="E40" s="63"/>
      <c r="F40" s="89"/>
      <c r="G40" s="42" t="str">
        <f>"(Sum Lines "&amp;A37&amp;" to "&amp;A39&amp;")"</f>
        <v>(Sum Lines 15 to 17)</v>
      </c>
      <c r="H40" s="34"/>
      <c r="I40" s="59">
        <f>I39+I38+I37</f>
        <v>5940804415</v>
      </c>
    </row>
    <row r="41" spans="1:9" s="50" customFormat="1" ht="15">
      <c r="A41" s="29"/>
      <c r="B41" s="67"/>
      <c r="C41" s="67"/>
      <c r="D41" s="51"/>
      <c r="E41" s="32"/>
      <c r="F41" s="3"/>
      <c r="G41" s="66"/>
      <c r="H41" s="5"/>
      <c r="I41" s="28"/>
    </row>
    <row r="42" spans="1:9" s="50" customFormat="1" ht="15">
      <c r="A42" s="77">
        <f>A40+1</f>
        <v>19</v>
      </c>
      <c r="B42" s="67"/>
      <c r="C42" s="67"/>
      <c r="D42" s="51" t="str">
        <f>'Appendix A'!C170</f>
        <v>Debt %</v>
      </c>
      <c r="E42" s="46"/>
      <c r="F42" s="157" t="str">
        <f>'Appendix A'!D170</f>
        <v>Total Long Term Debt</v>
      </c>
      <c r="G42" s="42" t="str">
        <f>"(Line "&amp;A37&amp;" / Line "&amp;A40&amp;")"</f>
        <v>(Line 15 / Line 18)</v>
      </c>
      <c r="H42" s="5"/>
      <c r="I42" s="449">
        <f>IF(I40&gt;0,I37/I40,0)</f>
        <v>0.47493438260246107</v>
      </c>
    </row>
    <row r="43" spans="1:9" s="50" customFormat="1" ht="15">
      <c r="A43" s="29">
        <f>A42+1</f>
        <v>20</v>
      </c>
      <c r="B43" s="67"/>
      <c r="C43" s="67"/>
      <c r="D43" s="51" t="str">
        <f>'Appendix A'!C171</f>
        <v>Preferred %</v>
      </c>
      <c r="E43" s="3"/>
      <c r="F43" s="157" t="str">
        <f>'Appendix A'!D171</f>
        <v>Preferred Stock</v>
      </c>
      <c r="G43" s="42" t="str">
        <f>"(Line "&amp;A38&amp;" / Line "&amp;A40&amp;")"</f>
        <v>(Line 16 / Line 18)</v>
      </c>
      <c r="H43" s="5"/>
      <c r="I43" s="449">
        <f>IF(I40&gt;0,I38/I40,0)</f>
        <v>0</v>
      </c>
    </row>
    <row r="44" spans="1:9" s="50" customFormat="1" ht="15">
      <c r="A44" s="29">
        <f>A43+1</f>
        <v>21</v>
      </c>
      <c r="B44" s="67"/>
      <c r="C44" s="67"/>
      <c r="D44" s="51" t="str">
        <f>'Appendix A'!C172</f>
        <v>Common %</v>
      </c>
      <c r="E44" s="3"/>
      <c r="F44" s="157" t="str">
        <f>'Appendix A'!D172</f>
        <v>Common Stock</v>
      </c>
      <c r="G44" s="42" t="str">
        <f>"(Line "&amp;A39&amp;" / Line "&amp;A40&amp;")"</f>
        <v>(Line 17 / Line 18)</v>
      </c>
      <c r="H44" s="5"/>
      <c r="I44" s="449">
        <f>IF(I40&gt;0,I39/I40,0)</f>
        <v>0.5250656173975389</v>
      </c>
    </row>
    <row r="45" spans="1:9" s="50" customFormat="1" ht="15">
      <c r="A45" s="29"/>
      <c r="B45" s="67"/>
      <c r="C45" s="67"/>
      <c r="D45" s="51"/>
      <c r="E45" s="32"/>
      <c r="F45" s="158"/>
      <c r="G45" s="11"/>
      <c r="H45" s="5"/>
      <c r="I45" s="28"/>
    </row>
    <row r="46" spans="1:9" s="50" customFormat="1" ht="15">
      <c r="A46" s="77">
        <f>A44+1</f>
        <v>22</v>
      </c>
      <c r="B46" s="67"/>
      <c r="C46" s="67"/>
      <c r="D46" s="51" t="str">
        <f>'Appendix A'!C174</f>
        <v>Debt Cost</v>
      </c>
      <c r="E46" s="46"/>
      <c r="F46" s="158" t="str">
        <f>'Appendix A'!D174</f>
        <v>Total Long Term Debt</v>
      </c>
      <c r="G46" s="42" t="str">
        <f>"(Line "&amp;A21&amp;" / Line "&amp;A37&amp;")"</f>
        <v>(Line 4 / Line 15)</v>
      </c>
      <c r="H46" s="5"/>
      <c r="I46" s="349">
        <f>IF(I37&gt;0,I21/I37,0)</f>
        <v>0.04687382243718968</v>
      </c>
    </row>
    <row r="47" spans="1:9" s="50" customFormat="1" ht="15">
      <c r="A47" s="29">
        <f>A46+1</f>
        <v>23</v>
      </c>
      <c r="B47" s="67"/>
      <c r="C47" s="67"/>
      <c r="D47" s="51" t="str">
        <f>'Appendix A'!C175</f>
        <v>Preferred Cost</v>
      </c>
      <c r="E47" s="3"/>
      <c r="F47" s="158" t="str">
        <f>'Appendix A'!D175</f>
        <v>Preferred Stock</v>
      </c>
      <c r="G47" s="42" t="str">
        <f>"(Line "&amp;A23&amp;" / Line "&amp;A38&amp;")"</f>
        <v>(Line 5 / Line 16)</v>
      </c>
      <c r="H47" s="5"/>
      <c r="I47" s="349">
        <f>IF(I38&gt;0,I23/I38,0)</f>
        <v>0</v>
      </c>
    </row>
    <row r="48" spans="1:9" s="50" customFormat="1" ht="15">
      <c r="A48" s="29">
        <f>A47+1</f>
        <v>24</v>
      </c>
      <c r="B48" s="67"/>
      <c r="C48" s="67"/>
      <c r="D48" s="51" t="str">
        <f>'Appendix A'!C176</f>
        <v>Common Cost</v>
      </c>
      <c r="E48" s="526"/>
      <c r="F48" s="271" t="str">
        <f>'Appendix A'!D176</f>
        <v>Common Stock</v>
      </c>
      <c r="G48" s="11" t="s">
        <v>514</v>
      </c>
      <c r="H48" s="5"/>
      <c r="I48" s="604">
        <f>+'Appendix A'!H176+I11</f>
        <v>0.1268</v>
      </c>
    </row>
    <row r="49" spans="1:9" s="50" customFormat="1" ht="15">
      <c r="A49" s="29"/>
      <c r="B49" s="67"/>
      <c r="C49" s="67"/>
      <c r="D49" s="51"/>
      <c r="E49" s="32"/>
      <c r="F49" s="158"/>
      <c r="G49" s="11"/>
      <c r="H49" s="5"/>
      <c r="I49" s="32"/>
    </row>
    <row r="50" spans="1:9" s="50" customFormat="1" ht="15">
      <c r="A50" s="77">
        <f>A48+1</f>
        <v>25</v>
      </c>
      <c r="B50" s="67"/>
      <c r="C50" s="67"/>
      <c r="D50" s="51" t="str">
        <f>'Appendix A'!C178</f>
        <v>Weighted Cost of Debt</v>
      </c>
      <c r="E50" s="46"/>
      <c r="F50" s="157" t="str">
        <f>'Appendix A'!D178</f>
        <v>Total Long Term Debt (WCLTD)</v>
      </c>
      <c r="G50" s="42" t="str">
        <f>"(Line "&amp;A42&amp;" * Line "&amp;A46&amp;")"</f>
        <v>(Line 19 * Line 22)</v>
      </c>
      <c r="H50" s="30"/>
      <c r="I50" s="22">
        <f>I46*I42</f>
        <v>0.022261989919424068</v>
      </c>
    </row>
    <row r="51" spans="1:9" s="50" customFormat="1" ht="15">
      <c r="A51" s="29">
        <f>A50+1</f>
        <v>26</v>
      </c>
      <c r="B51" s="67"/>
      <c r="C51" s="67"/>
      <c r="D51" s="51" t="str">
        <f>'Appendix A'!C179</f>
        <v>Weighted Cost of Preferred</v>
      </c>
      <c r="E51" s="3"/>
      <c r="F51" s="157" t="str">
        <f>'Appendix A'!D179</f>
        <v>Preferred Stock</v>
      </c>
      <c r="G51" s="42" t="str">
        <f>"(Line "&amp;A43&amp;" * Line "&amp;A47&amp;")"</f>
        <v>(Line 20 * Line 23)</v>
      </c>
      <c r="H51" s="75"/>
      <c r="I51" s="22">
        <f>I47*I43</f>
        <v>0</v>
      </c>
    </row>
    <row r="52" spans="1:9" s="50" customFormat="1" ht="15">
      <c r="A52" s="29">
        <f>A51+1</f>
        <v>27</v>
      </c>
      <c r="B52" s="67"/>
      <c r="C52" s="67"/>
      <c r="D52" s="97" t="str">
        <f>'Appendix A'!C180</f>
        <v>Weighted Cost of Common</v>
      </c>
      <c r="E52" s="163"/>
      <c r="F52" s="162" t="str">
        <f>'Appendix A'!D180</f>
        <v>Common Stock</v>
      </c>
      <c r="G52" s="111" t="str">
        <f>"(Line "&amp;A44&amp;" * Line "&amp;A48&amp;")"</f>
        <v>(Line 21 * Line 24)</v>
      </c>
      <c r="H52" s="110"/>
      <c r="I52" s="164">
        <f>I48*I44</f>
        <v>0.06657832028600792</v>
      </c>
    </row>
    <row r="53" spans="1:9" s="50" customFormat="1" ht="15.75">
      <c r="A53" s="29">
        <f>A52+1</f>
        <v>28</v>
      </c>
      <c r="B53" s="67"/>
      <c r="C53" s="606" t="str">
        <f>'Appendix A'!B181</f>
        <v>Rate of Return on Rate Base ( ROR )</v>
      </c>
      <c r="D53" s="67"/>
      <c r="E53" s="128"/>
      <c r="F53" s="84"/>
      <c r="G53" s="42" t="str">
        <f>"(Sum Lines "&amp;A50&amp;" to "&amp;A52&amp;")"</f>
        <v>(Sum Lines 25 to 27)</v>
      </c>
      <c r="H53" s="86"/>
      <c r="I53" s="76">
        <f>SUM(I50:I52)</f>
        <v>0.08884031020543198</v>
      </c>
    </row>
    <row r="54" spans="1:9" s="50" customFormat="1" ht="15.75">
      <c r="A54" s="45"/>
      <c r="B54" s="67"/>
      <c r="C54" s="67"/>
      <c r="D54" s="67"/>
      <c r="E54" s="128"/>
      <c r="F54" s="84"/>
      <c r="G54" s="131"/>
      <c r="H54" s="86"/>
      <c r="I54" s="76"/>
    </row>
    <row r="55" spans="1:9" s="50" customFormat="1" ht="16.5" thickBot="1">
      <c r="A55" s="77">
        <f>A53+1</f>
        <v>29</v>
      </c>
      <c r="B55" s="67"/>
      <c r="C55" s="106" t="str">
        <f>'Appendix A'!B183</f>
        <v>Investment Return = Rate Base * Rate of Return</v>
      </c>
      <c r="D55" s="106"/>
      <c r="E55" s="106"/>
      <c r="F55" s="108"/>
      <c r="G55" s="461" t="str">
        <f>"(Line "&amp;A16&amp;" * Line "&amp;A53&amp;")"</f>
        <v>(Line 1 * Line 28)</v>
      </c>
      <c r="H55" s="113"/>
      <c r="I55" s="41">
        <f>+I53*I16</f>
        <v>235254392.0026451</v>
      </c>
    </row>
    <row r="56" spans="1:9" s="50" customFormat="1" ht="15.75" thickTop="1">
      <c r="A56" s="29"/>
      <c r="B56" s="6"/>
      <c r="C56" s="31"/>
      <c r="D56" s="3"/>
      <c r="E56" s="32"/>
      <c r="F56" s="92"/>
      <c r="G56" s="11"/>
      <c r="H56" s="5"/>
      <c r="I56" s="22"/>
    </row>
    <row r="57" spans="1:9" s="50" customFormat="1" ht="15.75">
      <c r="A57" s="527" t="s">
        <v>185</v>
      </c>
      <c r="B57" s="121"/>
      <c r="C57" s="122"/>
      <c r="D57" s="123"/>
      <c r="E57" s="124"/>
      <c r="F57" s="181"/>
      <c r="G57" s="125"/>
      <c r="H57" s="125"/>
      <c r="I57" s="126"/>
    </row>
    <row r="58" spans="1:9" s="50" customFormat="1" ht="15.75">
      <c r="A58" s="53"/>
      <c r="B58" s="53"/>
      <c r="C58" s="31"/>
      <c r="D58" s="24"/>
      <c r="E58" s="54"/>
      <c r="F58" s="20"/>
      <c r="G58" s="32"/>
      <c r="H58" s="32"/>
      <c r="I58" s="38"/>
    </row>
    <row r="59" spans="1:9" s="50" customFormat="1" ht="15.75">
      <c r="A59" s="77" t="s">
        <v>363</v>
      </c>
      <c r="B59" s="31"/>
      <c r="C59" s="133" t="s">
        <v>454</v>
      </c>
      <c r="D59" s="32"/>
      <c r="E59" s="32"/>
      <c r="F59" s="20"/>
      <c r="G59" s="5"/>
      <c r="H59" s="17"/>
      <c r="I59" s="32"/>
    </row>
    <row r="60" spans="1:9" s="50" customFormat="1" ht="15">
      <c r="A60" s="77">
        <f>+A55+1</f>
        <v>30</v>
      </c>
      <c r="B60" s="92"/>
      <c r="C60" s="31"/>
      <c r="D60" s="32" t="s">
        <v>452</v>
      </c>
      <c r="E60" s="32"/>
      <c r="F60" s="92"/>
      <c r="G60" s="348"/>
      <c r="H60" s="33"/>
      <c r="I60" s="262">
        <f>+'Appendix A'!H188</f>
        <v>0.35</v>
      </c>
    </row>
    <row r="61" spans="1:9" s="50" customFormat="1" ht="15">
      <c r="A61" s="29">
        <f>+A60+1</f>
        <v>31</v>
      </c>
      <c r="B61" s="92"/>
      <c r="C61" s="31"/>
      <c r="D61" s="33" t="s">
        <v>451</v>
      </c>
      <c r="E61" s="23"/>
      <c r="F61" s="92"/>
      <c r="G61" s="348"/>
      <c r="H61" s="33"/>
      <c r="I61" s="262">
        <f>+'Appendix A'!H189</f>
        <v>0.0999</v>
      </c>
    </row>
    <row r="62" spans="1:9" s="50" customFormat="1" ht="15">
      <c r="A62" s="29">
        <f>+A61+1</f>
        <v>32</v>
      </c>
      <c r="B62" s="92"/>
      <c r="C62" s="31"/>
      <c r="D62" s="33" t="s">
        <v>62</v>
      </c>
      <c r="E62" s="33"/>
      <c r="F62" s="92"/>
      <c r="G62" s="7" t="str">
        <f>+'Appendix A'!F190</f>
        <v>Per State Tax Code</v>
      </c>
      <c r="H62" s="33"/>
      <c r="I62" s="262">
        <f>+'Appendix A'!H190</f>
        <v>0</v>
      </c>
    </row>
    <row r="63" spans="1:9" s="50" customFormat="1" ht="15">
      <c r="A63" s="29">
        <f>+A62+1</f>
        <v>33</v>
      </c>
      <c r="B63" s="92"/>
      <c r="C63" s="31"/>
      <c r="D63" s="33" t="s">
        <v>515</v>
      </c>
      <c r="E63" s="16" t="s">
        <v>526</v>
      </c>
      <c r="F63" s="92"/>
      <c r="G63" s="35"/>
      <c r="H63" s="33"/>
      <c r="I63" s="262">
        <f>+'Appendix A'!H191</f>
        <v>0.41493499999999994</v>
      </c>
    </row>
    <row r="64" spans="1:10" s="50" customFormat="1" ht="15">
      <c r="A64" s="29">
        <f>A63+1</f>
        <v>34</v>
      </c>
      <c r="B64" s="94"/>
      <c r="C64" s="77"/>
      <c r="D64" s="515" t="s">
        <v>630</v>
      </c>
      <c r="E64" s="2"/>
      <c r="F64" s="2"/>
      <c r="G64" s="2"/>
      <c r="H64" s="2"/>
      <c r="I64" s="550">
        <f>I63/(1-I63)</f>
        <v>0.7092117969798226</v>
      </c>
      <c r="J64" s="55"/>
    </row>
    <row r="65" spans="1:10" s="50" customFormat="1" ht="15">
      <c r="A65" s="29">
        <f>A64+1</f>
        <v>35</v>
      </c>
      <c r="B65" s="94"/>
      <c r="C65" s="77"/>
      <c r="D65" s="515" t="s">
        <v>629</v>
      </c>
      <c r="E65" s="605"/>
      <c r="F65" s="94"/>
      <c r="G65" s="54"/>
      <c r="H65" s="33"/>
      <c r="I65" s="550">
        <f>1/(1-I63)</f>
        <v>1.7092117969798226</v>
      </c>
      <c r="J65" s="55"/>
    </row>
    <row r="66" spans="1:9" s="50" customFormat="1" ht="15">
      <c r="A66" s="77"/>
      <c r="B66" s="31"/>
      <c r="C66" s="31"/>
      <c r="D66" s="32"/>
      <c r="E66" s="32"/>
      <c r="F66" s="15"/>
      <c r="G66" s="16"/>
      <c r="H66" s="17"/>
      <c r="I66" s="18"/>
    </row>
    <row r="67" spans="1:9" s="50" customFormat="1" ht="15.75">
      <c r="A67" s="77"/>
      <c r="B67" s="31"/>
      <c r="C67" s="133" t="s">
        <v>401</v>
      </c>
      <c r="D67" s="3"/>
      <c r="E67" s="32"/>
      <c r="F67" s="20"/>
      <c r="G67" s="5"/>
      <c r="H67" s="17"/>
      <c r="I67" s="216"/>
    </row>
    <row r="68" spans="1:9" s="50" customFormat="1" ht="15">
      <c r="A68" s="77">
        <f>+A65+1</f>
        <v>36</v>
      </c>
      <c r="B68" s="92"/>
      <c r="C68" s="31"/>
      <c r="D68" s="163" t="s">
        <v>480</v>
      </c>
      <c r="E68" s="101"/>
      <c r="F68" s="521"/>
      <c r="G68" s="450" t="str">
        <f>+'Appendix A'!F195</f>
        <v>Attachment 5</v>
      </c>
      <c r="H68" s="863"/>
      <c r="I68" s="864">
        <f>+'Appendix A'!H195</f>
        <v>-20102</v>
      </c>
    </row>
    <row r="69" spans="1:9" s="50" customFormat="1" ht="15" hidden="1">
      <c r="A69" s="77"/>
      <c r="B69" s="92"/>
      <c r="C69" s="31"/>
      <c r="D69" s="3"/>
      <c r="E69" s="32"/>
      <c r="F69" s="6"/>
      <c r="G69" s="7"/>
      <c r="H69" s="17"/>
      <c r="I69" s="429"/>
    </row>
    <row r="70" spans="1:9" s="50" customFormat="1" ht="15.75" hidden="1">
      <c r="A70" s="77"/>
      <c r="B70" s="92"/>
      <c r="C70" s="78"/>
      <c r="D70" s="95"/>
      <c r="E70" s="96"/>
      <c r="F70" s="161"/>
      <c r="G70" s="450"/>
      <c r="H70" s="81"/>
      <c r="I70" s="129"/>
    </row>
    <row r="71" spans="1:9" s="50" customFormat="1" ht="15.75">
      <c r="A71" s="29">
        <f>+A68+1</f>
        <v>37</v>
      </c>
      <c r="B71" s="92"/>
      <c r="C71" s="31"/>
      <c r="D71" s="154" t="s">
        <v>98</v>
      </c>
      <c r="F71" s="80"/>
      <c r="G71" s="664" t="str">
        <f>"(Line "&amp;A68&amp;" * (1 / (1 - Line "&amp;A63&amp;")"</f>
        <v>(Line 36 * (1 / (1 - Line 33)</v>
      </c>
      <c r="H71" s="83"/>
      <c r="I71" s="74">
        <f>I68*(1/(1-I63))</f>
        <v>-34358.57554288839</v>
      </c>
    </row>
    <row r="72" spans="1:9" s="50" customFormat="1" ht="15.75">
      <c r="A72" s="29"/>
      <c r="B72" s="6"/>
      <c r="C72" s="31"/>
      <c r="D72" s="154"/>
      <c r="E72" s="80"/>
      <c r="F72" s="221"/>
      <c r="G72" s="218"/>
      <c r="H72" s="81"/>
      <c r="I72" s="219"/>
    </row>
    <row r="73" spans="1:9" s="50" customFormat="1" ht="15.75">
      <c r="A73" s="29"/>
      <c r="B73" s="6"/>
      <c r="C73" s="31"/>
      <c r="D73" s="154"/>
      <c r="E73" s="80"/>
      <c r="F73" s="221"/>
      <c r="G73" s="218"/>
      <c r="H73" s="81"/>
      <c r="I73" s="220"/>
    </row>
    <row r="74" spans="1:9" s="50" customFormat="1" ht="15.75">
      <c r="A74" s="77"/>
      <c r="B74" s="31"/>
      <c r="C74" s="31"/>
      <c r="D74" s="32"/>
      <c r="E74" s="32"/>
      <c r="F74" s="15"/>
      <c r="G74" s="16"/>
      <c r="H74" s="17"/>
      <c r="I74" s="217"/>
    </row>
    <row r="75" spans="1:9" s="50" customFormat="1" ht="15.75">
      <c r="A75" s="77">
        <f>+A71+1</f>
        <v>38</v>
      </c>
      <c r="B75" s="92"/>
      <c r="C75" s="1" t="s">
        <v>471</v>
      </c>
      <c r="E75" s="10" t="s">
        <v>473</v>
      </c>
      <c r="F75" s="20"/>
      <c r="G75" s="25"/>
      <c r="H75" s="32"/>
      <c r="I75" s="159">
        <f>+I64*(1-I50/I53)*I55</f>
        <v>125036399.3433162</v>
      </c>
    </row>
    <row r="76" spans="1:9" s="50" customFormat="1" ht="15.75">
      <c r="A76" s="77"/>
      <c r="B76" s="31"/>
      <c r="C76" s="31"/>
      <c r="D76" s="79"/>
      <c r="E76" s="80"/>
      <c r="F76" s="191"/>
      <c r="G76" s="25"/>
      <c r="H76" s="81"/>
      <c r="I76" s="65"/>
    </row>
    <row r="77" spans="1:9" s="50" customFormat="1" ht="16.5" thickBot="1">
      <c r="A77" s="77">
        <f>+A75+1</f>
        <v>39</v>
      </c>
      <c r="B77" s="92"/>
      <c r="C77" s="112" t="s">
        <v>342</v>
      </c>
      <c r="D77" s="112"/>
      <c r="E77" s="106"/>
      <c r="F77" s="177"/>
      <c r="G77" s="41"/>
      <c r="H77" s="132"/>
      <c r="I77" s="160">
        <f>+I75+I71</f>
        <v>125002040.76777332</v>
      </c>
    </row>
    <row r="78" spans="1:9" s="50" customFormat="1" ht="15.75" thickTop="1">
      <c r="A78" s="77"/>
      <c r="B78" s="31"/>
      <c r="C78" s="31"/>
      <c r="D78" s="16"/>
      <c r="E78" s="32"/>
      <c r="F78" s="92"/>
      <c r="G78" s="19"/>
      <c r="H78" s="8"/>
      <c r="I78" s="134"/>
    </row>
    <row r="79" s="50" customFormat="1" ht="15">
      <c r="A79" s="55"/>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row r="269" ht="12.75">
      <c r="A269" s="2"/>
    </row>
    <row r="270" ht="12.75">
      <c r="A270" s="2"/>
    </row>
    <row r="271" ht="12.75">
      <c r="A271" s="2"/>
    </row>
    <row r="272" ht="12.75">
      <c r="A272" s="2"/>
    </row>
    <row r="273" ht="12.75">
      <c r="A273" s="2"/>
    </row>
    <row r="274" ht="12.75">
      <c r="A274" s="2"/>
    </row>
    <row r="275" ht="12.75">
      <c r="A275" s="2"/>
    </row>
    <row r="276" ht="12.75">
      <c r="A276" s="2"/>
    </row>
    <row r="277" ht="12.75">
      <c r="A277" s="2"/>
    </row>
    <row r="278" ht="12.75">
      <c r="A278" s="2"/>
    </row>
    <row r="279" ht="12.75">
      <c r="A279" s="2"/>
    </row>
    <row r="280" ht="12.75">
      <c r="A280" s="2"/>
    </row>
    <row r="281" ht="12.75">
      <c r="A281" s="2"/>
    </row>
    <row r="282" ht="12.75">
      <c r="A282" s="2"/>
    </row>
    <row r="283" ht="12.75">
      <c r="A283" s="2"/>
    </row>
    <row r="284" ht="12.75">
      <c r="A284" s="2"/>
    </row>
    <row r="285" ht="12.75">
      <c r="A285" s="2"/>
    </row>
    <row r="286" ht="12.75">
      <c r="A286" s="2"/>
    </row>
    <row r="287" ht="12.75">
      <c r="A287" s="2"/>
    </row>
    <row r="288" ht="12.75">
      <c r="A288" s="2"/>
    </row>
    <row r="289" ht="12.75">
      <c r="A289" s="2"/>
    </row>
    <row r="290" ht="12.75">
      <c r="A290" s="2"/>
    </row>
    <row r="291" ht="12.75">
      <c r="A291" s="2"/>
    </row>
    <row r="292" ht="12.75">
      <c r="A292" s="2"/>
    </row>
    <row r="293" ht="12.75">
      <c r="A293" s="2"/>
    </row>
    <row r="294" ht="12.75">
      <c r="A294" s="2"/>
    </row>
    <row r="295" ht="12.75">
      <c r="A295" s="2"/>
    </row>
    <row r="296" ht="12.75">
      <c r="A296" s="2"/>
    </row>
    <row r="297" ht="12.75">
      <c r="A297" s="2"/>
    </row>
    <row r="298" ht="12.75">
      <c r="A298" s="2"/>
    </row>
    <row r="299" ht="12.75">
      <c r="A299" s="2"/>
    </row>
    <row r="300" ht="12.75">
      <c r="A300" s="2"/>
    </row>
    <row r="301" ht="12.75">
      <c r="A301" s="2"/>
    </row>
    <row r="302" ht="12.75">
      <c r="A302" s="2"/>
    </row>
    <row r="303" ht="12.75">
      <c r="A303" s="2"/>
    </row>
    <row r="304" ht="12.75">
      <c r="A304" s="2"/>
    </row>
    <row r="305" ht="12.75">
      <c r="A305" s="2"/>
    </row>
    <row r="306" ht="12.75">
      <c r="A306" s="2"/>
    </row>
    <row r="307" ht="12.75">
      <c r="A307" s="2"/>
    </row>
    <row r="308" spans="1:6" ht="12.75">
      <c r="A308" s="310"/>
      <c r="B308" s="310"/>
      <c r="C308" s="310"/>
      <c r="D308" s="310"/>
      <c r="E308" s="310"/>
      <c r="F308" s="310"/>
    </row>
    <row r="309" spans="1:6" ht="12.75">
      <c r="A309" s="310"/>
      <c r="B309" s="310"/>
      <c r="C309" s="310"/>
      <c r="D309" s="310"/>
      <c r="E309" s="310"/>
      <c r="F309" s="310"/>
    </row>
    <row r="310" spans="1:6" ht="12.75">
      <c r="A310" s="310"/>
      <c r="B310" s="310"/>
      <c r="C310" s="310"/>
      <c r="D310" s="310"/>
      <c r="E310" s="310"/>
      <c r="F310" s="310"/>
    </row>
    <row r="311" spans="1:6" ht="12.75">
      <c r="A311" s="310"/>
      <c r="B311" s="310"/>
      <c r="C311" s="310"/>
      <c r="D311" s="310"/>
      <c r="E311" s="310"/>
      <c r="F311" s="310"/>
    </row>
    <row r="312" spans="1:6" ht="12.75">
      <c r="A312" s="310"/>
      <c r="B312" s="310"/>
      <c r="C312" s="310"/>
      <c r="D312" s="310"/>
      <c r="E312" s="310"/>
      <c r="F312" s="310"/>
    </row>
    <row r="313" spans="1:6" ht="12.75">
      <c r="A313" s="310"/>
      <c r="B313" s="310"/>
      <c r="C313" s="310"/>
      <c r="D313" s="310"/>
      <c r="E313" s="310"/>
      <c r="F313" s="310"/>
    </row>
    <row r="314" spans="1:6" ht="12.75">
      <c r="A314" s="310"/>
      <c r="B314" s="310"/>
      <c r="C314" s="310"/>
      <c r="D314" s="310"/>
      <c r="E314" s="310"/>
      <c r="F314" s="310"/>
    </row>
    <row r="315" spans="1:6" ht="12.75">
      <c r="A315" s="310"/>
      <c r="B315" s="310"/>
      <c r="C315" s="310"/>
      <c r="D315" s="310"/>
      <c r="E315" s="310"/>
      <c r="F315" s="310"/>
    </row>
    <row r="316" spans="1:6" ht="12.75">
      <c r="A316" s="310"/>
      <c r="B316" s="310"/>
      <c r="C316" s="310"/>
      <c r="D316" s="310"/>
      <c r="E316" s="310"/>
      <c r="F316" s="310"/>
    </row>
    <row r="317" ht="12.75">
      <c r="A317" s="2"/>
    </row>
    <row r="318" ht="12.75">
      <c r="A318" s="2"/>
    </row>
    <row r="319" ht="12.75">
      <c r="A319" s="2"/>
    </row>
    <row r="320" ht="12.75">
      <c r="A320" s="2"/>
    </row>
    <row r="321" ht="12.75">
      <c r="A321" s="2"/>
    </row>
    <row r="322" ht="12.75">
      <c r="A322" s="2"/>
    </row>
    <row r="323" ht="12.75">
      <c r="A323" s="2"/>
    </row>
    <row r="324" ht="12.75">
      <c r="A324" s="2"/>
    </row>
    <row r="325" ht="12.75">
      <c r="A325" s="2"/>
    </row>
    <row r="326" ht="12.75">
      <c r="A326" s="2"/>
    </row>
    <row r="327" ht="12.75">
      <c r="A327" s="2"/>
    </row>
    <row r="328" ht="12.75">
      <c r="A328" s="2"/>
    </row>
    <row r="329" ht="12.75">
      <c r="A329" s="2"/>
    </row>
    <row r="330" ht="12.75">
      <c r="A330" s="2"/>
    </row>
    <row r="331" ht="12.75">
      <c r="A331" s="2"/>
    </row>
    <row r="332" ht="12.75">
      <c r="A332" s="2"/>
    </row>
    <row r="333" ht="12.75">
      <c r="A333" s="2"/>
    </row>
    <row r="334" ht="12.75">
      <c r="A334" s="2"/>
    </row>
    <row r="335" ht="12.75">
      <c r="A335" s="2"/>
    </row>
    <row r="336" ht="12.75">
      <c r="A336" s="2"/>
    </row>
    <row r="337" ht="12.75">
      <c r="A337" s="2"/>
    </row>
    <row r="338" ht="12.75">
      <c r="A338" s="2"/>
    </row>
    <row r="339" ht="12.75">
      <c r="A339" s="2"/>
    </row>
    <row r="340" ht="12.75">
      <c r="A340" s="2"/>
    </row>
    <row r="341" ht="12.75">
      <c r="A341" s="2"/>
    </row>
    <row r="342" ht="12.75">
      <c r="A342" s="2"/>
    </row>
    <row r="343" ht="12.75">
      <c r="A343" s="2"/>
    </row>
    <row r="344" ht="12.75">
      <c r="A344" s="2"/>
    </row>
    <row r="345" ht="12.75">
      <c r="A345" s="2"/>
    </row>
    <row r="346" ht="12.75">
      <c r="A346" s="2"/>
    </row>
    <row r="347" ht="12.75">
      <c r="A347" s="2"/>
    </row>
    <row r="348" ht="12.75">
      <c r="A348" s="2"/>
    </row>
    <row r="349" ht="12.75">
      <c r="A349" s="2"/>
    </row>
    <row r="350" ht="12.75">
      <c r="A350" s="2"/>
    </row>
    <row r="351" ht="12.75">
      <c r="A351" s="2"/>
    </row>
    <row r="352" ht="12.75">
      <c r="A352" s="2"/>
    </row>
    <row r="353" ht="12.75">
      <c r="A353" s="2"/>
    </row>
    <row r="354" ht="12.75">
      <c r="A354" s="2"/>
    </row>
    <row r="355" ht="12.75">
      <c r="A355" s="2"/>
    </row>
    <row r="356" ht="12.75">
      <c r="A356" s="2"/>
    </row>
    <row r="357" ht="12.75">
      <c r="A357" s="2"/>
    </row>
    <row r="358" ht="12.75">
      <c r="A358" s="2"/>
    </row>
    <row r="359" ht="12.75">
      <c r="A359" s="2"/>
    </row>
    <row r="360" ht="12.75">
      <c r="A360" s="2"/>
    </row>
    <row r="361" ht="12.75">
      <c r="A361" s="2"/>
    </row>
    <row r="362" ht="12.75">
      <c r="A362" s="2"/>
    </row>
    <row r="363" ht="12.75">
      <c r="A363" s="2"/>
    </row>
    <row r="364" ht="12.75">
      <c r="A364" s="2"/>
    </row>
    <row r="365" ht="12.75">
      <c r="A365" s="2"/>
    </row>
    <row r="366" ht="12.75">
      <c r="A366" s="2"/>
    </row>
    <row r="367" ht="12.75">
      <c r="A367" s="2"/>
    </row>
    <row r="368" ht="12.75">
      <c r="A368" s="2"/>
    </row>
    <row r="369" ht="12.75">
      <c r="A369" s="2"/>
    </row>
    <row r="370" ht="12.75">
      <c r="A370" s="2"/>
    </row>
    <row r="371" ht="12.75">
      <c r="A371" s="2"/>
    </row>
    <row r="372" ht="12.75">
      <c r="A372" s="2"/>
    </row>
    <row r="373" ht="12.75">
      <c r="A373" s="2"/>
    </row>
    <row r="374" ht="12.75">
      <c r="A374" s="2"/>
    </row>
    <row r="375" ht="12.75">
      <c r="A375" s="2"/>
    </row>
    <row r="376" ht="12.75">
      <c r="A376" s="2"/>
    </row>
    <row r="377" ht="12.75">
      <c r="A377" s="2"/>
    </row>
    <row r="378" ht="12.75">
      <c r="A378" s="2"/>
    </row>
    <row r="379" ht="12.75">
      <c r="A379" s="2"/>
    </row>
    <row r="380" ht="12.75">
      <c r="A380" s="2"/>
    </row>
    <row r="381" ht="12.75">
      <c r="A381" s="2"/>
    </row>
    <row r="382" ht="12.75">
      <c r="A382" s="2"/>
    </row>
    <row r="383" ht="12.75">
      <c r="A383" s="2"/>
    </row>
    <row r="384" ht="12.75">
      <c r="A384" s="2"/>
    </row>
    <row r="385" ht="12.75">
      <c r="A385" s="2"/>
    </row>
    <row r="386" ht="12.75">
      <c r="A386" s="2"/>
    </row>
    <row r="387" ht="12.75">
      <c r="A387" s="2"/>
    </row>
    <row r="388" ht="12.75">
      <c r="A388" s="2"/>
    </row>
    <row r="389" ht="12.75">
      <c r="A389" s="2"/>
    </row>
    <row r="390" ht="12.75">
      <c r="A390" s="2"/>
    </row>
    <row r="391" ht="12.75">
      <c r="A391" s="2"/>
    </row>
    <row r="392" ht="12.75">
      <c r="A392" s="2"/>
    </row>
    <row r="393" ht="12.75">
      <c r="A393" s="2"/>
    </row>
    <row r="394" ht="12.75">
      <c r="A394" s="2"/>
    </row>
    <row r="395" ht="12.75">
      <c r="A395" s="2"/>
    </row>
    <row r="396" ht="12.75">
      <c r="A396" s="2"/>
    </row>
    <row r="397" ht="12.75">
      <c r="A397" s="2"/>
    </row>
    <row r="398" ht="12.75">
      <c r="A398" s="2"/>
    </row>
    <row r="399" ht="12.75">
      <c r="A399" s="2"/>
    </row>
    <row r="400" ht="12.75">
      <c r="A400" s="2"/>
    </row>
    <row r="401" ht="12.75">
      <c r="A401" s="2"/>
    </row>
    <row r="402" ht="12.75">
      <c r="A402" s="2"/>
    </row>
    <row r="403" ht="12.75">
      <c r="A403" s="2"/>
    </row>
    <row r="404" ht="12.75">
      <c r="A404" s="2"/>
    </row>
    <row r="405" ht="12.75">
      <c r="A405" s="2"/>
    </row>
    <row r="406" ht="12.75">
      <c r="A406" s="2"/>
    </row>
    <row r="407" ht="12.75">
      <c r="A407" s="2"/>
    </row>
    <row r="408" ht="12.75">
      <c r="A408" s="2"/>
    </row>
    <row r="409" ht="12.75">
      <c r="A409" s="2"/>
    </row>
    <row r="410" ht="12.75">
      <c r="A410" s="2"/>
    </row>
    <row r="411" ht="12.75">
      <c r="A411" s="2"/>
    </row>
    <row r="412" ht="12.75">
      <c r="A412" s="2"/>
    </row>
    <row r="413" ht="12.75">
      <c r="A413" s="2"/>
    </row>
    <row r="414" ht="12.75">
      <c r="A414" s="2"/>
    </row>
    <row r="415" ht="12.75">
      <c r="A415" s="2"/>
    </row>
    <row r="416" ht="12.75">
      <c r="A416" s="2"/>
    </row>
    <row r="417" ht="12.75">
      <c r="A417" s="2"/>
    </row>
    <row r="418" ht="12.75">
      <c r="A418" s="2"/>
    </row>
    <row r="419" ht="12.75">
      <c r="A419" s="2"/>
    </row>
    <row r="420" ht="12.75">
      <c r="A420" s="2"/>
    </row>
    <row r="421" ht="12.75">
      <c r="A421" s="2"/>
    </row>
    <row r="422" ht="12.75">
      <c r="A422" s="2"/>
    </row>
    <row r="423" ht="12.75">
      <c r="A423" s="2"/>
    </row>
    <row r="424" ht="12.75">
      <c r="A424" s="2"/>
    </row>
    <row r="425" ht="12.75">
      <c r="A425" s="2"/>
    </row>
    <row r="426" ht="12.75">
      <c r="A426" s="2"/>
    </row>
    <row r="427" ht="12.75">
      <c r="A427" s="2"/>
    </row>
    <row r="428" ht="12.75">
      <c r="A428" s="2"/>
    </row>
    <row r="429" ht="12.75">
      <c r="A429" s="2"/>
    </row>
    <row r="430" ht="12.75">
      <c r="A430" s="2"/>
    </row>
    <row r="431" ht="12.75">
      <c r="A431" s="2"/>
    </row>
    <row r="432" ht="12.75">
      <c r="A432" s="2"/>
    </row>
    <row r="433" ht="12.75">
      <c r="A433" s="2"/>
    </row>
    <row r="434" ht="12.75">
      <c r="A434" s="2"/>
    </row>
    <row r="435" ht="12.75">
      <c r="A435" s="2"/>
    </row>
    <row r="436" ht="12.75">
      <c r="A436" s="2"/>
    </row>
    <row r="437" ht="12.75">
      <c r="A437" s="2"/>
    </row>
    <row r="438" ht="12.75">
      <c r="A438" s="2"/>
    </row>
    <row r="439" ht="12.75">
      <c r="A439" s="2"/>
    </row>
    <row r="440" ht="12.75">
      <c r="A440" s="2"/>
    </row>
    <row r="441" ht="12.75">
      <c r="A441" s="2"/>
    </row>
    <row r="442" ht="12.75">
      <c r="A442" s="2"/>
    </row>
    <row r="443" ht="12.75">
      <c r="A443" s="2"/>
    </row>
    <row r="444" ht="12.75">
      <c r="A444" s="2"/>
    </row>
    <row r="445" ht="12.75">
      <c r="A445" s="2"/>
    </row>
    <row r="446" ht="12.75">
      <c r="A446" s="2"/>
    </row>
    <row r="447" ht="12.75">
      <c r="A447" s="2"/>
    </row>
    <row r="448" ht="12.75">
      <c r="A448" s="2"/>
    </row>
    <row r="449" ht="12.75">
      <c r="A449" s="2"/>
    </row>
    <row r="450" ht="12.75">
      <c r="A450" s="2"/>
    </row>
    <row r="451" ht="12.75">
      <c r="A451" s="2"/>
    </row>
    <row r="452" ht="12.75">
      <c r="A452" s="2"/>
    </row>
    <row r="453" ht="12.75">
      <c r="A453" s="2"/>
    </row>
    <row r="454" ht="12.75">
      <c r="A454" s="2"/>
    </row>
    <row r="455" ht="12.75">
      <c r="A455" s="2"/>
    </row>
    <row r="456" ht="12.75">
      <c r="A456" s="2"/>
    </row>
    <row r="457" ht="12.75">
      <c r="A457" s="2"/>
    </row>
    <row r="458" ht="12.75">
      <c r="A458" s="2"/>
    </row>
    <row r="459" ht="12.75">
      <c r="A459" s="2"/>
    </row>
    <row r="460" ht="12.75">
      <c r="A460" s="2"/>
    </row>
    <row r="461" ht="12.75">
      <c r="A461" s="2"/>
    </row>
    <row r="462" ht="12.75">
      <c r="A462" s="2"/>
    </row>
    <row r="463" ht="12.75">
      <c r="A463" s="2"/>
    </row>
    <row r="464" ht="12.75">
      <c r="A464" s="2"/>
    </row>
    <row r="465" ht="12.75">
      <c r="A465" s="2"/>
    </row>
    <row r="466" ht="12.75">
      <c r="A466" s="2"/>
    </row>
    <row r="467" ht="12.75">
      <c r="A467" s="2"/>
    </row>
    <row r="468" ht="12.75">
      <c r="A468" s="2"/>
    </row>
    <row r="469" ht="12.75">
      <c r="A469" s="2"/>
    </row>
    <row r="470" ht="12.75">
      <c r="A470" s="2"/>
    </row>
    <row r="471" ht="12.75">
      <c r="A471" s="2"/>
    </row>
    <row r="472" ht="12.75">
      <c r="A472" s="2"/>
    </row>
    <row r="473" ht="12.75">
      <c r="A473" s="2"/>
    </row>
    <row r="474" ht="12.75">
      <c r="A474" s="2"/>
    </row>
    <row r="475" ht="12.75">
      <c r="A475" s="2"/>
    </row>
    <row r="476" ht="12.75">
      <c r="A476" s="2"/>
    </row>
    <row r="477" ht="12.75">
      <c r="A477" s="2"/>
    </row>
    <row r="478" ht="12.75">
      <c r="A478" s="2"/>
    </row>
    <row r="479" ht="12.75">
      <c r="A479" s="2"/>
    </row>
    <row r="480" ht="12.75">
      <c r="A480" s="2"/>
    </row>
    <row r="481" ht="12.75">
      <c r="A481" s="2"/>
    </row>
    <row r="482" ht="12.75">
      <c r="A482" s="2"/>
    </row>
    <row r="483" ht="12.75">
      <c r="A483" s="2"/>
    </row>
    <row r="484" ht="12.75">
      <c r="A484" s="2"/>
    </row>
    <row r="485" ht="12.75">
      <c r="A485" s="2"/>
    </row>
    <row r="486" ht="12.75">
      <c r="A486" s="2"/>
    </row>
    <row r="487" ht="12.75">
      <c r="A487" s="2"/>
    </row>
    <row r="488" ht="12.75">
      <c r="A488" s="2"/>
    </row>
    <row r="489" ht="12.75">
      <c r="A489" s="2"/>
    </row>
    <row r="490" ht="12.75">
      <c r="A490" s="2"/>
    </row>
    <row r="491" ht="12.75">
      <c r="A491" s="2"/>
    </row>
    <row r="492" ht="12.75">
      <c r="A492" s="2"/>
    </row>
    <row r="493" ht="12.75">
      <c r="A493" s="2"/>
    </row>
    <row r="494" ht="12.75">
      <c r="A494" s="2"/>
    </row>
    <row r="495" ht="12.75">
      <c r="A495" s="2"/>
    </row>
    <row r="496" ht="12.75">
      <c r="A496" s="2"/>
    </row>
    <row r="497" ht="12.75">
      <c r="A497" s="2"/>
    </row>
    <row r="498" ht="12.75">
      <c r="A498" s="2"/>
    </row>
    <row r="499" ht="12.75">
      <c r="A499" s="2"/>
    </row>
    <row r="500" ht="12.75">
      <c r="A500" s="2"/>
    </row>
    <row r="501" ht="12.75">
      <c r="A501" s="2"/>
    </row>
    <row r="502" ht="12.75">
      <c r="A502" s="2"/>
    </row>
    <row r="503" ht="12.75">
      <c r="A503" s="2"/>
    </row>
    <row r="504" ht="12.75">
      <c r="A504" s="2"/>
    </row>
    <row r="505" ht="12.75">
      <c r="A505" s="2"/>
    </row>
    <row r="506" ht="12.75">
      <c r="A506" s="2"/>
    </row>
    <row r="507" ht="12.75">
      <c r="A507" s="2"/>
    </row>
    <row r="508" ht="12.75">
      <c r="A508" s="2"/>
    </row>
    <row r="509" ht="12.75">
      <c r="A509" s="2"/>
    </row>
    <row r="510" ht="12.75">
      <c r="A510" s="2"/>
    </row>
    <row r="511" ht="12.75">
      <c r="A511" s="2"/>
    </row>
    <row r="512" ht="12.75">
      <c r="A512" s="2"/>
    </row>
    <row r="513" ht="12.75">
      <c r="A513" s="2"/>
    </row>
    <row r="514" ht="12.75">
      <c r="A514" s="2"/>
    </row>
    <row r="515" ht="12.75">
      <c r="A515" s="2"/>
    </row>
    <row r="516" ht="12.75">
      <c r="A516" s="2"/>
    </row>
    <row r="517" ht="12.75">
      <c r="A517" s="2"/>
    </row>
    <row r="518" ht="12.75">
      <c r="A518" s="2"/>
    </row>
    <row r="519" ht="12.75">
      <c r="A519" s="2"/>
    </row>
    <row r="520" ht="12.75">
      <c r="A520" s="2"/>
    </row>
    <row r="521" ht="12.75">
      <c r="A521" s="2"/>
    </row>
    <row r="522" ht="12.75">
      <c r="A522" s="2"/>
    </row>
    <row r="523" ht="12.75">
      <c r="A523" s="2"/>
    </row>
    <row r="524" ht="12.75">
      <c r="A524" s="2"/>
    </row>
    <row r="525" ht="12.75">
      <c r="A525" s="2"/>
    </row>
    <row r="526" ht="12.75">
      <c r="A526" s="2"/>
    </row>
    <row r="527" ht="12.75">
      <c r="A527" s="2"/>
    </row>
    <row r="528" ht="12.75">
      <c r="A528" s="2"/>
    </row>
    <row r="529" ht="12.75">
      <c r="A529" s="2"/>
    </row>
    <row r="530" ht="12.75">
      <c r="A530" s="2"/>
    </row>
    <row r="531" ht="12.75">
      <c r="A531" s="2"/>
    </row>
    <row r="532" ht="12.75">
      <c r="A532" s="2"/>
    </row>
    <row r="533" ht="12.75">
      <c r="A533" s="2"/>
    </row>
    <row r="534" ht="12.75">
      <c r="A534" s="2"/>
    </row>
    <row r="535" ht="12.75">
      <c r="A535" s="2"/>
    </row>
    <row r="536" ht="12.75">
      <c r="A536" s="2"/>
    </row>
    <row r="537" ht="12.75">
      <c r="A537" s="2"/>
    </row>
    <row r="538" ht="12.75">
      <c r="A538" s="2"/>
    </row>
    <row r="539" ht="12.75">
      <c r="A539" s="2"/>
    </row>
    <row r="540" ht="12.75">
      <c r="A540" s="2"/>
    </row>
    <row r="541" ht="12.75">
      <c r="A541" s="2"/>
    </row>
    <row r="542" ht="12.75">
      <c r="A542" s="2"/>
    </row>
    <row r="543" ht="12.75">
      <c r="A543" s="2"/>
    </row>
    <row r="544" ht="12.75">
      <c r="A544" s="2"/>
    </row>
    <row r="545" ht="12.75">
      <c r="A545" s="2"/>
    </row>
    <row r="546" ht="12.75">
      <c r="A546" s="2"/>
    </row>
    <row r="547" ht="12.75">
      <c r="A547" s="2"/>
    </row>
    <row r="548" ht="12.75">
      <c r="A548" s="2"/>
    </row>
    <row r="549" ht="12.75">
      <c r="A549" s="2"/>
    </row>
    <row r="550" ht="12.75">
      <c r="A550" s="2"/>
    </row>
    <row r="551" ht="12.75">
      <c r="A551" s="2"/>
    </row>
    <row r="552" ht="12.75">
      <c r="A552" s="2"/>
    </row>
    <row r="553" ht="12.75">
      <c r="A553" s="2"/>
    </row>
    <row r="554" ht="12.75">
      <c r="A554" s="2"/>
    </row>
    <row r="555" ht="12.75">
      <c r="A555" s="2"/>
    </row>
    <row r="556" ht="12.75">
      <c r="A556" s="2"/>
    </row>
    <row r="557" ht="12.75">
      <c r="A557" s="2"/>
    </row>
    <row r="558" ht="12.75">
      <c r="A558" s="2"/>
    </row>
    <row r="559" ht="12.75">
      <c r="A559" s="2"/>
    </row>
    <row r="560" ht="12.75">
      <c r="A560" s="2"/>
    </row>
    <row r="561" ht="12.75">
      <c r="A561" s="2"/>
    </row>
    <row r="562" ht="12.75">
      <c r="A562" s="2"/>
    </row>
    <row r="563" ht="12.75">
      <c r="A563" s="2"/>
    </row>
    <row r="564" ht="12.75">
      <c r="A564" s="2"/>
    </row>
    <row r="565" ht="12.75">
      <c r="A565" s="2"/>
    </row>
    <row r="566" ht="12.75">
      <c r="A566" s="2"/>
    </row>
    <row r="567" ht="12.75">
      <c r="A567" s="2"/>
    </row>
    <row r="568" ht="12.75">
      <c r="A568" s="2"/>
    </row>
    <row r="569" ht="12.75">
      <c r="A569" s="2"/>
    </row>
    <row r="570" ht="12.75">
      <c r="A570" s="2"/>
    </row>
    <row r="571" ht="12.75">
      <c r="A571" s="2"/>
    </row>
    <row r="572" ht="12.75">
      <c r="A572" s="2"/>
    </row>
    <row r="573" ht="12.75">
      <c r="A573" s="2"/>
    </row>
    <row r="574" ht="12.75">
      <c r="A574" s="2"/>
    </row>
    <row r="575" ht="12.75">
      <c r="A575" s="2"/>
    </row>
    <row r="576" ht="12.75">
      <c r="A576" s="2"/>
    </row>
    <row r="577" ht="12.75">
      <c r="A577" s="2"/>
    </row>
    <row r="578" ht="12.75">
      <c r="A578" s="2"/>
    </row>
    <row r="579" ht="12.75">
      <c r="A579" s="2"/>
    </row>
    <row r="580" ht="12.75">
      <c r="A580" s="2"/>
    </row>
    <row r="581" ht="12.75">
      <c r="A581" s="2"/>
    </row>
    <row r="582" ht="12.75">
      <c r="A582" s="2"/>
    </row>
    <row r="583" ht="12.75">
      <c r="A583" s="2"/>
    </row>
    <row r="584" ht="12.75">
      <c r="A584" s="2"/>
    </row>
    <row r="585" ht="12.75">
      <c r="A585" s="2"/>
    </row>
    <row r="586" ht="12.75">
      <c r="A586" s="2"/>
    </row>
    <row r="587" ht="12.75">
      <c r="A587" s="2"/>
    </row>
    <row r="588" ht="12.75">
      <c r="A588" s="2"/>
    </row>
    <row r="589" ht="12.75">
      <c r="A589" s="2"/>
    </row>
    <row r="590" ht="12.75">
      <c r="A590" s="2"/>
    </row>
    <row r="591" ht="12.75">
      <c r="A591" s="2"/>
    </row>
    <row r="592" ht="12.75">
      <c r="A592" s="2"/>
    </row>
    <row r="593" ht="12.75">
      <c r="A593" s="2"/>
    </row>
    <row r="594" ht="12.75">
      <c r="A594" s="2"/>
    </row>
    <row r="595" ht="12.75">
      <c r="A595" s="2"/>
    </row>
    <row r="596" ht="12.75">
      <c r="A596" s="2"/>
    </row>
    <row r="597" ht="12.75">
      <c r="A597" s="2"/>
    </row>
    <row r="598" ht="12.75">
      <c r="A598" s="2"/>
    </row>
    <row r="599" ht="12.75">
      <c r="A599" s="2"/>
    </row>
    <row r="600" ht="12.75">
      <c r="A600" s="2"/>
    </row>
    <row r="601" ht="12.75">
      <c r="A601" s="2"/>
    </row>
    <row r="602" ht="12.75">
      <c r="A602" s="2"/>
    </row>
    <row r="603" ht="12.75">
      <c r="A603" s="2"/>
    </row>
    <row r="604" ht="12.75">
      <c r="A604" s="2"/>
    </row>
    <row r="605" ht="12.75">
      <c r="A605" s="2"/>
    </row>
    <row r="606" ht="12.75">
      <c r="A606" s="2"/>
    </row>
    <row r="607" ht="12.75">
      <c r="A607" s="2"/>
    </row>
    <row r="608" ht="12.75">
      <c r="A608" s="2"/>
    </row>
    <row r="609" ht="12.75">
      <c r="A609" s="2"/>
    </row>
    <row r="610" ht="12.75">
      <c r="A610" s="2"/>
    </row>
    <row r="611" ht="12.75">
      <c r="A611" s="2"/>
    </row>
    <row r="612" ht="12.75">
      <c r="A612" s="2"/>
    </row>
    <row r="613" ht="12.75">
      <c r="A613" s="2"/>
    </row>
    <row r="614" ht="12.75">
      <c r="A614" s="2"/>
    </row>
    <row r="615" ht="12.75">
      <c r="A615" s="2"/>
    </row>
    <row r="616" ht="12.75">
      <c r="A616" s="2"/>
    </row>
    <row r="617" ht="12.75">
      <c r="A617" s="2"/>
    </row>
    <row r="618" ht="12.75">
      <c r="A618" s="2"/>
    </row>
    <row r="619" ht="12.75">
      <c r="A619" s="2"/>
    </row>
    <row r="620" ht="12.75">
      <c r="A620" s="2"/>
    </row>
    <row r="621" ht="12.75">
      <c r="A621" s="2"/>
    </row>
    <row r="622" ht="12.75">
      <c r="A622" s="2"/>
    </row>
    <row r="623" ht="12.75">
      <c r="A623" s="2"/>
    </row>
    <row r="624" ht="12.75">
      <c r="A624" s="2"/>
    </row>
    <row r="625" ht="12.75">
      <c r="A625" s="2"/>
    </row>
    <row r="626" ht="12.75">
      <c r="A626" s="2"/>
    </row>
    <row r="627" ht="12.75">
      <c r="A627" s="2"/>
    </row>
    <row r="628" ht="12.75">
      <c r="A628" s="2"/>
    </row>
    <row r="629" ht="12.75">
      <c r="A629" s="2"/>
    </row>
    <row r="630" ht="12.75">
      <c r="A630" s="2"/>
    </row>
    <row r="631" ht="12.75">
      <c r="A631" s="2"/>
    </row>
    <row r="632" ht="12.75">
      <c r="A632" s="2"/>
    </row>
    <row r="633" ht="12.75">
      <c r="A633" s="2"/>
    </row>
    <row r="634" ht="12.75">
      <c r="A634" s="2"/>
    </row>
    <row r="635" ht="12.75">
      <c r="A635" s="2"/>
    </row>
    <row r="636" ht="12.75">
      <c r="A636" s="2"/>
    </row>
    <row r="637" ht="12.75">
      <c r="A637" s="2"/>
    </row>
    <row r="638" ht="12.75">
      <c r="A638" s="2"/>
    </row>
    <row r="639" ht="12.75">
      <c r="A639" s="2"/>
    </row>
    <row r="640" ht="12.75">
      <c r="A640" s="2"/>
    </row>
    <row r="641" ht="12.75">
      <c r="A641" s="2"/>
    </row>
    <row r="642" ht="12.75">
      <c r="A642" s="2"/>
    </row>
    <row r="643" ht="12.75">
      <c r="A643" s="2"/>
    </row>
    <row r="644" ht="12.75">
      <c r="A644" s="2"/>
    </row>
    <row r="645" ht="12.75">
      <c r="A645" s="2"/>
    </row>
    <row r="646" ht="12.75">
      <c r="A646" s="2"/>
    </row>
    <row r="647" ht="12.75">
      <c r="A647" s="2"/>
    </row>
    <row r="648" ht="12.75">
      <c r="A648" s="2"/>
    </row>
    <row r="649" ht="12.75">
      <c r="A649" s="2"/>
    </row>
    <row r="650" ht="12.75">
      <c r="A650" s="2"/>
    </row>
    <row r="651" ht="12.75">
      <c r="A651" s="2"/>
    </row>
    <row r="652" ht="12.75">
      <c r="A652" s="2"/>
    </row>
    <row r="653" ht="12.75">
      <c r="A653" s="2"/>
    </row>
    <row r="654" ht="12.75">
      <c r="A654" s="2"/>
    </row>
    <row r="655" ht="12.75">
      <c r="A655" s="2"/>
    </row>
    <row r="656" ht="12.75">
      <c r="A656" s="2"/>
    </row>
    <row r="657" ht="12.75">
      <c r="A657" s="2"/>
    </row>
    <row r="658" ht="12.75">
      <c r="A658" s="2"/>
    </row>
    <row r="659" ht="12.75">
      <c r="A659" s="2"/>
    </row>
    <row r="660" ht="12.75">
      <c r="A660" s="2"/>
    </row>
    <row r="661" ht="12.75">
      <c r="A661" s="2"/>
    </row>
    <row r="662" ht="12.75">
      <c r="A662" s="2"/>
    </row>
    <row r="663" ht="12.75">
      <c r="A663" s="2"/>
    </row>
    <row r="664" ht="12.75">
      <c r="A664" s="2"/>
    </row>
    <row r="665" ht="12.75">
      <c r="A665" s="2"/>
    </row>
    <row r="666" ht="12.75">
      <c r="A666" s="2"/>
    </row>
    <row r="667" ht="12.75">
      <c r="A667" s="2"/>
    </row>
    <row r="668" ht="12.75">
      <c r="A668" s="2"/>
    </row>
    <row r="669" ht="12.75">
      <c r="A669" s="2"/>
    </row>
    <row r="670" ht="12.75">
      <c r="A670" s="2"/>
    </row>
    <row r="671" ht="12.75">
      <c r="A671" s="2"/>
    </row>
    <row r="672" ht="12.75">
      <c r="A672" s="2"/>
    </row>
    <row r="673" ht="12.75">
      <c r="A673" s="2"/>
    </row>
    <row r="674" ht="12.75">
      <c r="A674" s="2"/>
    </row>
    <row r="675" ht="12.75">
      <c r="A675" s="2"/>
    </row>
    <row r="676" ht="12.75">
      <c r="A676" s="2"/>
    </row>
    <row r="677" ht="12.75">
      <c r="A677" s="2"/>
    </row>
    <row r="678" ht="12.75">
      <c r="A678" s="2"/>
    </row>
    <row r="679" ht="12.75">
      <c r="A679" s="2"/>
    </row>
    <row r="680" ht="12.75">
      <c r="A680" s="2"/>
    </row>
    <row r="681" ht="12.75">
      <c r="A681" s="2"/>
    </row>
    <row r="682" ht="12.75">
      <c r="A682" s="2"/>
    </row>
    <row r="683" ht="12.75">
      <c r="A683" s="2"/>
    </row>
    <row r="684" ht="12.75">
      <c r="A684" s="2"/>
    </row>
    <row r="685" ht="12.75">
      <c r="A685" s="2"/>
    </row>
    <row r="686" ht="12.75">
      <c r="A686" s="2"/>
    </row>
    <row r="687" ht="12.75">
      <c r="A687" s="2"/>
    </row>
    <row r="688" ht="12.75">
      <c r="A688" s="2"/>
    </row>
    <row r="689" ht="12.75">
      <c r="A689" s="2"/>
    </row>
    <row r="690" ht="12.75">
      <c r="A690" s="2"/>
    </row>
    <row r="691" ht="12.75">
      <c r="A691" s="2"/>
    </row>
    <row r="692" ht="12.75">
      <c r="A692" s="2"/>
    </row>
    <row r="693" ht="12.75">
      <c r="A693" s="2"/>
    </row>
    <row r="694" ht="12.75">
      <c r="A694" s="2"/>
    </row>
    <row r="695" ht="12.75">
      <c r="A695" s="2"/>
    </row>
    <row r="696" ht="12.75">
      <c r="A696" s="2"/>
    </row>
    <row r="697" ht="12.75">
      <c r="A697" s="2"/>
    </row>
    <row r="698" ht="12.75">
      <c r="A698" s="2"/>
    </row>
    <row r="699" ht="12.75">
      <c r="A699" s="2"/>
    </row>
    <row r="700" ht="12.75">
      <c r="A700" s="2"/>
    </row>
    <row r="701" ht="12.75">
      <c r="A701" s="2"/>
    </row>
    <row r="702" ht="12.75">
      <c r="A702" s="2"/>
    </row>
    <row r="703" ht="12.75">
      <c r="A703" s="2"/>
    </row>
    <row r="704" ht="12.75">
      <c r="A704" s="2"/>
    </row>
    <row r="705" ht="12.75">
      <c r="A705" s="2"/>
    </row>
    <row r="706" ht="12.75">
      <c r="A706" s="2"/>
    </row>
    <row r="707" ht="12.75">
      <c r="A707" s="2"/>
    </row>
    <row r="708" ht="12.75">
      <c r="A708" s="2"/>
    </row>
    <row r="709" ht="12.75">
      <c r="A709" s="2"/>
    </row>
    <row r="710" ht="12.75">
      <c r="A710" s="2"/>
    </row>
    <row r="711" ht="12.75">
      <c r="A711" s="2"/>
    </row>
    <row r="712" ht="12.75">
      <c r="A712" s="2"/>
    </row>
    <row r="713" ht="12.75">
      <c r="A713" s="2"/>
    </row>
    <row r="714" ht="12.75">
      <c r="A714" s="2"/>
    </row>
    <row r="715" ht="12.75">
      <c r="A715" s="2"/>
    </row>
    <row r="716" ht="12.75">
      <c r="A716" s="2"/>
    </row>
    <row r="717" ht="12.75">
      <c r="A717" s="2"/>
    </row>
    <row r="718" ht="12.75">
      <c r="A718" s="2"/>
    </row>
    <row r="719" ht="12.75">
      <c r="A719" s="2"/>
    </row>
    <row r="720" ht="12.75">
      <c r="A720" s="2"/>
    </row>
    <row r="721" ht="12.75">
      <c r="A721" s="2"/>
    </row>
    <row r="722" ht="12.75">
      <c r="A722" s="2"/>
    </row>
    <row r="723" ht="12.75">
      <c r="A723" s="2"/>
    </row>
    <row r="724" ht="12.75">
      <c r="A724" s="2"/>
    </row>
    <row r="725" ht="12.75">
      <c r="A725" s="2"/>
    </row>
    <row r="726" ht="12.75">
      <c r="A726" s="2"/>
    </row>
    <row r="727" ht="12.75">
      <c r="A727" s="2"/>
    </row>
    <row r="728" ht="12.75">
      <c r="A728" s="2"/>
    </row>
    <row r="729" ht="12.75">
      <c r="A729" s="2"/>
    </row>
    <row r="730" ht="12.75">
      <c r="A730" s="2"/>
    </row>
    <row r="731" ht="12.75">
      <c r="A731" s="2"/>
    </row>
    <row r="732" ht="12.75">
      <c r="A732" s="2"/>
    </row>
    <row r="733" ht="12.75">
      <c r="A733" s="2"/>
    </row>
    <row r="734" ht="12.75">
      <c r="A734" s="2"/>
    </row>
    <row r="735" ht="12.75">
      <c r="A735" s="2"/>
    </row>
    <row r="736" ht="12.75">
      <c r="A736" s="2"/>
    </row>
    <row r="737" ht="12.75">
      <c r="A737" s="2"/>
    </row>
    <row r="738" ht="12.75">
      <c r="A738" s="2"/>
    </row>
    <row r="739" ht="12.75">
      <c r="A739" s="2"/>
    </row>
    <row r="740" ht="12.75">
      <c r="A740" s="2"/>
    </row>
    <row r="741" ht="12.75">
      <c r="A741" s="2"/>
    </row>
    <row r="742" ht="12.75">
      <c r="A742" s="2"/>
    </row>
    <row r="743" ht="12.75">
      <c r="A743" s="2"/>
    </row>
    <row r="744" ht="12.75">
      <c r="A744" s="2"/>
    </row>
    <row r="745" ht="12.75">
      <c r="A745" s="2"/>
    </row>
    <row r="746" ht="12.75">
      <c r="A746" s="2"/>
    </row>
    <row r="747" ht="12.75">
      <c r="A747" s="2"/>
    </row>
    <row r="748" ht="12.75">
      <c r="A748" s="2"/>
    </row>
    <row r="749" ht="12.75">
      <c r="A749" s="2"/>
    </row>
    <row r="750" ht="12.75">
      <c r="A750" s="2"/>
    </row>
    <row r="751" ht="12.75">
      <c r="A751" s="2"/>
    </row>
    <row r="752" ht="12.75">
      <c r="A752" s="2"/>
    </row>
    <row r="753" ht="12.75">
      <c r="A753" s="2"/>
    </row>
    <row r="754" ht="12.75">
      <c r="A754" s="2"/>
    </row>
    <row r="755" ht="12.75">
      <c r="A755" s="2"/>
    </row>
    <row r="756" ht="12.75">
      <c r="A756" s="2"/>
    </row>
    <row r="757" ht="12.75">
      <c r="A757" s="2"/>
    </row>
    <row r="758" ht="12.75">
      <c r="A758" s="2"/>
    </row>
    <row r="759" ht="12.75">
      <c r="A759" s="2"/>
    </row>
    <row r="760" ht="12.75">
      <c r="A760" s="2"/>
    </row>
    <row r="761" ht="12.75">
      <c r="A761" s="2"/>
    </row>
    <row r="762" ht="12.75">
      <c r="A762" s="2"/>
    </row>
    <row r="763" ht="12.75">
      <c r="A763" s="2"/>
    </row>
    <row r="764" ht="12.75">
      <c r="A764" s="2"/>
    </row>
    <row r="765" ht="12.75">
      <c r="A765" s="2"/>
    </row>
    <row r="766" ht="12.75">
      <c r="A766" s="2"/>
    </row>
    <row r="767" ht="12.75">
      <c r="A767" s="2"/>
    </row>
    <row r="768" ht="12.75">
      <c r="A768" s="2"/>
    </row>
    <row r="769" ht="12.75">
      <c r="A769" s="2"/>
    </row>
    <row r="770" ht="12.75">
      <c r="A770" s="2"/>
    </row>
    <row r="771" ht="12.75">
      <c r="A771" s="2"/>
    </row>
    <row r="772" ht="12.75">
      <c r="A772" s="2"/>
    </row>
    <row r="773" ht="12.75">
      <c r="A773" s="2"/>
    </row>
    <row r="774" ht="12.75">
      <c r="A774" s="2"/>
    </row>
    <row r="775" ht="12.75">
      <c r="A775" s="2"/>
    </row>
    <row r="776" ht="12.75">
      <c r="A776" s="2"/>
    </row>
    <row r="777" ht="12.75">
      <c r="A777" s="2"/>
    </row>
    <row r="778" ht="12.75">
      <c r="A778" s="2"/>
    </row>
    <row r="779" ht="12.75">
      <c r="A779" s="2"/>
    </row>
    <row r="780" ht="12.75">
      <c r="A780" s="2"/>
    </row>
    <row r="781" ht="12.75">
      <c r="A781" s="2"/>
    </row>
    <row r="782" ht="12.75">
      <c r="A782" s="2"/>
    </row>
    <row r="783" ht="12.75">
      <c r="A783" s="2"/>
    </row>
    <row r="784" ht="12.75">
      <c r="A784" s="2"/>
    </row>
    <row r="785" ht="12.75">
      <c r="A785" s="2"/>
    </row>
    <row r="786" ht="12.75">
      <c r="A786" s="2"/>
    </row>
    <row r="787" ht="12.75">
      <c r="A787" s="2"/>
    </row>
    <row r="788" ht="12.75">
      <c r="A788" s="2"/>
    </row>
    <row r="789" ht="12.75">
      <c r="A789" s="2"/>
    </row>
    <row r="790" ht="12.75">
      <c r="A790" s="2"/>
    </row>
    <row r="791" ht="12.75">
      <c r="A791" s="2"/>
    </row>
    <row r="792" ht="12.75">
      <c r="A792" s="2"/>
    </row>
    <row r="793" ht="12.75">
      <c r="A793" s="2"/>
    </row>
    <row r="794" ht="12.75">
      <c r="A794" s="2"/>
    </row>
    <row r="795" ht="12.75">
      <c r="A795" s="2"/>
    </row>
    <row r="796" ht="12.75">
      <c r="A796" s="2"/>
    </row>
    <row r="797" ht="12.75">
      <c r="A797" s="2"/>
    </row>
    <row r="798" ht="12.75">
      <c r="A798" s="2"/>
    </row>
    <row r="799" ht="12.75">
      <c r="A799" s="2"/>
    </row>
    <row r="800" ht="12.75">
      <c r="A800" s="2"/>
    </row>
    <row r="801" ht="12.75">
      <c r="A801" s="2"/>
    </row>
    <row r="802" ht="12.75">
      <c r="A802" s="2"/>
    </row>
    <row r="803" ht="12.75">
      <c r="A803" s="2"/>
    </row>
    <row r="804" ht="12.75">
      <c r="A804" s="2"/>
    </row>
    <row r="805" ht="12.75">
      <c r="A805" s="2"/>
    </row>
    <row r="806" ht="12.75">
      <c r="A806" s="2"/>
    </row>
    <row r="807" ht="12.75">
      <c r="A807" s="2"/>
    </row>
    <row r="808" ht="12.75">
      <c r="A808" s="2"/>
    </row>
    <row r="809" ht="12.75">
      <c r="A809" s="2"/>
    </row>
    <row r="810" ht="12.75">
      <c r="A810" s="2"/>
    </row>
    <row r="811" ht="12.75">
      <c r="A811" s="2"/>
    </row>
    <row r="812" ht="12.75">
      <c r="A812" s="2"/>
    </row>
    <row r="813" ht="12.75">
      <c r="A813" s="2"/>
    </row>
    <row r="814" ht="12.75">
      <c r="A814" s="2"/>
    </row>
    <row r="815" ht="12.75">
      <c r="A815" s="2"/>
    </row>
    <row r="816" ht="12.75">
      <c r="A816" s="2"/>
    </row>
    <row r="817" ht="12.75">
      <c r="A817" s="2"/>
    </row>
    <row r="818" ht="12.75">
      <c r="A818" s="2"/>
    </row>
    <row r="819" ht="12.75">
      <c r="A819" s="2"/>
    </row>
    <row r="820" ht="12.75">
      <c r="A820" s="2"/>
    </row>
    <row r="821" ht="12.75">
      <c r="A821" s="2"/>
    </row>
    <row r="822" ht="12.75">
      <c r="A822" s="2"/>
    </row>
    <row r="823" ht="12.75">
      <c r="A823" s="2"/>
    </row>
    <row r="824" ht="12.75">
      <c r="A824" s="2"/>
    </row>
    <row r="825" ht="12.75">
      <c r="A825" s="2"/>
    </row>
    <row r="826" ht="12.75">
      <c r="A826" s="2"/>
    </row>
    <row r="827" ht="12.75">
      <c r="A827" s="2"/>
    </row>
    <row r="828" ht="12.75">
      <c r="A828" s="2"/>
    </row>
    <row r="829" ht="12.75">
      <c r="A829" s="2"/>
    </row>
    <row r="830" ht="12.75">
      <c r="A830" s="2"/>
    </row>
    <row r="831" ht="12.75">
      <c r="A831" s="2"/>
    </row>
    <row r="832" ht="12.75">
      <c r="A832" s="2"/>
    </row>
    <row r="833" ht="12.75">
      <c r="A833" s="2"/>
    </row>
    <row r="834" ht="12.75">
      <c r="A834" s="2"/>
    </row>
    <row r="835" ht="12.75">
      <c r="A835" s="2"/>
    </row>
    <row r="836" ht="12.75">
      <c r="A836" s="2"/>
    </row>
    <row r="837" ht="12.75">
      <c r="A837" s="2"/>
    </row>
    <row r="838" ht="12.75">
      <c r="A838" s="2"/>
    </row>
    <row r="839" ht="12.75">
      <c r="A839" s="2"/>
    </row>
    <row r="840" ht="12.75">
      <c r="A840" s="2"/>
    </row>
    <row r="841" ht="12.75">
      <c r="A841" s="2"/>
    </row>
    <row r="842" ht="12.75">
      <c r="A842" s="2"/>
    </row>
    <row r="843" ht="12.75">
      <c r="A843" s="2"/>
    </row>
    <row r="844" ht="12.75">
      <c r="A844" s="2"/>
    </row>
    <row r="845" ht="12.75">
      <c r="A845" s="2"/>
    </row>
    <row r="846" ht="12.75">
      <c r="A846" s="2"/>
    </row>
    <row r="847" ht="12.75">
      <c r="A847" s="2"/>
    </row>
    <row r="848" ht="12.75">
      <c r="A848" s="2"/>
    </row>
    <row r="849" ht="12.75">
      <c r="A849" s="2"/>
    </row>
    <row r="850" ht="12.75">
      <c r="A850" s="2"/>
    </row>
    <row r="851" ht="12.75">
      <c r="A851" s="2"/>
    </row>
    <row r="852" ht="12.75">
      <c r="A852" s="2"/>
    </row>
    <row r="853" ht="12.75">
      <c r="A853" s="2"/>
    </row>
    <row r="854" ht="12.75">
      <c r="A854" s="2"/>
    </row>
    <row r="855" ht="12.75">
      <c r="A855" s="2"/>
    </row>
    <row r="856" ht="12.75">
      <c r="A856" s="2"/>
    </row>
    <row r="857" ht="12.75">
      <c r="A857" s="2"/>
    </row>
    <row r="858" ht="12.75">
      <c r="A858" s="2"/>
    </row>
    <row r="859" ht="12.75">
      <c r="A859" s="2"/>
    </row>
    <row r="860" ht="12.75">
      <c r="A860" s="2"/>
    </row>
    <row r="861" ht="12.75">
      <c r="A861" s="2"/>
    </row>
    <row r="862" ht="12.75">
      <c r="A862" s="2"/>
    </row>
    <row r="863" ht="12.75">
      <c r="A863" s="2"/>
    </row>
    <row r="864" ht="12.75">
      <c r="A864" s="2"/>
    </row>
    <row r="865" ht="12.75">
      <c r="A865" s="2"/>
    </row>
    <row r="866" ht="12.75">
      <c r="A866" s="2"/>
    </row>
    <row r="867" ht="12.75">
      <c r="A867" s="2"/>
    </row>
    <row r="868" ht="12.75">
      <c r="A868" s="2"/>
    </row>
    <row r="869" ht="12.75">
      <c r="A869" s="2"/>
    </row>
    <row r="870" ht="12.75">
      <c r="A870" s="2"/>
    </row>
    <row r="871" ht="12.75">
      <c r="A871" s="2"/>
    </row>
    <row r="872" ht="12.75">
      <c r="A872" s="2"/>
    </row>
    <row r="873" ht="12.75">
      <c r="A873" s="2"/>
    </row>
    <row r="874" ht="12.75">
      <c r="A874" s="2"/>
    </row>
    <row r="875" ht="12.75">
      <c r="A875" s="2"/>
    </row>
    <row r="876" ht="12.75">
      <c r="A876" s="2"/>
    </row>
    <row r="877" ht="12.75">
      <c r="A877" s="2"/>
    </row>
    <row r="878" ht="12.75">
      <c r="A878" s="2"/>
    </row>
    <row r="879" ht="12.75">
      <c r="A879" s="2"/>
    </row>
    <row r="880" ht="12.75">
      <c r="A880" s="2"/>
    </row>
    <row r="881" ht="12.75">
      <c r="A881" s="2"/>
    </row>
    <row r="882" ht="12.75">
      <c r="A882" s="2"/>
    </row>
    <row r="883" ht="12.75">
      <c r="A883" s="2"/>
    </row>
    <row r="884" ht="12.75">
      <c r="A884" s="2"/>
    </row>
    <row r="885" ht="12.75">
      <c r="A885" s="2"/>
    </row>
    <row r="886" ht="12.75">
      <c r="A886" s="2"/>
    </row>
    <row r="887" ht="12.75">
      <c r="A887" s="2"/>
    </row>
    <row r="888" ht="12.75">
      <c r="A888" s="2"/>
    </row>
    <row r="889" ht="12.75">
      <c r="A889" s="2"/>
    </row>
    <row r="890" ht="12.75">
      <c r="A890" s="2"/>
    </row>
    <row r="891" ht="12.75">
      <c r="A891" s="2"/>
    </row>
    <row r="892" ht="12.75">
      <c r="A892" s="2"/>
    </row>
    <row r="893" ht="12.75">
      <c r="A893" s="2"/>
    </row>
    <row r="894" ht="12.75">
      <c r="A894" s="2"/>
    </row>
    <row r="895" ht="12.75">
      <c r="A895" s="2"/>
    </row>
    <row r="896" ht="12.75">
      <c r="A896" s="2"/>
    </row>
    <row r="897" ht="12.75">
      <c r="A897" s="2"/>
    </row>
    <row r="898" ht="12.75">
      <c r="A898" s="2"/>
    </row>
    <row r="899" ht="12.75">
      <c r="A899" s="2"/>
    </row>
    <row r="900" ht="12.75">
      <c r="A900" s="2"/>
    </row>
    <row r="901" ht="12.75">
      <c r="A901" s="2"/>
    </row>
    <row r="902" ht="12.75">
      <c r="A902" s="2"/>
    </row>
    <row r="903" ht="12.75">
      <c r="A903" s="2"/>
    </row>
    <row r="904" ht="12.75">
      <c r="A904" s="2"/>
    </row>
    <row r="905" ht="12.75">
      <c r="A905" s="2"/>
    </row>
    <row r="906" ht="12.75">
      <c r="A906" s="2"/>
    </row>
    <row r="907" ht="12.75">
      <c r="A907" s="2"/>
    </row>
    <row r="908" ht="12.75">
      <c r="A908" s="2"/>
    </row>
    <row r="909" ht="12.75">
      <c r="A909" s="2"/>
    </row>
    <row r="910" ht="12.75">
      <c r="A910" s="2"/>
    </row>
    <row r="911" ht="12.75">
      <c r="A911" s="2"/>
    </row>
    <row r="912" ht="12.75">
      <c r="A912" s="2"/>
    </row>
    <row r="913" ht="12.75">
      <c r="A913" s="2"/>
    </row>
    <row r="914" ht="12.75">
      <c r="A914" s="2"/>
    </row>
    <row r="915" ht="12.75">
      <c r="A915" s="2"/>
    </row>
    <row r="916" ht="12.75">
      <c r="A916" s="2"/>
    </row>
    <row r="917" ht="12.75">
      <c r="A917" s="2"/>
    </row>
    <row r="918" ht="12.75">
      <c r="A918" s="2"/>
    </row>
    <row r="919" ht="12.75">
      <c r="A919" s="2"/>
    </row>
    <row r="920" ht="12.75">
      <c r="A920" s="2"/>
    </row>
    <row r="921" ht="12.75">
      <c r="A921" s="2"/>
    </row>
    <row r="922" ht="12.75">
      <c r="A922" s="2"/>
    </row>
    <row r="923" ht="12.75">
      <c r="A923" s="2"/>
    </row>
    <row r="924" ht="12.75">
      <c r="A924" s="2"/>
    </row>
    <row r="925" ht="12.75">
      <c r="A925" s="2"/>
    </row>
    <row r="926" ht="12.75">
      <c r="A926" s="2"/>
    </row>
    <row r="927" ht="12.75">
      <c r="A927" s="2"/>
    </row>
    <row r="928" ht="12.75">
      <c r="A928" s="2"/>
    </row>
    <row r="929" ht="12.75">
      <c r="A929" s="2"/>
    </row>
    <row r="930" ht="12.75">
      <c r="A930" s="2"/>
    </row>
    <row r="931" ht="12.75">
      <c r="A931" s="2"/>
    </row>
    <row r="932" ht="12.75">
      <c r="A932" s="2"/>
    </row>
    <row r="933" ht="12.75">
      <c r="A933" s="2"/>
    </row>
    <row r="934" ht="12.75">
      <c r="A934" s="2"/>
    </row>
    <row r="935" ht="12.75">
      <c r="A935" s="2"/>
    </row>
    <row r="936" ht="12.75">
      <c r="A936" s="2"/>
    </row>
    <row r="937" ht="12.75">
      <c r="A937" s="2"/>
    </row>
    <row r="938" ht="12.75">
      <c r="A938" s="2"/>
    </row>
    <row r="939" ht="12.75">
      <c r="A939" s="2"/>
    </row>
    <row r="940" ht="12.75">
      <c r="A940" s="2"/>
    </row>
    <row r="941" ht="12.75">
      <c r="A941" s="2"/>
    </row>
    <row r="942" ht="12.75">
      <c r="A942" s="2"/>
    </row>
    <row r="943" ht="12.75">
      <c r="A943" s="2"/>
    </row>
    <row r="944" ht="12.75">
      <c r="A944" s="2"/>
    </row>
    <row r="945" ht="12.75">
      <c r="A945" s="2"/>
    </row>
    <row r="946" ht="12.75">
      <c r="A946" s="2"/>
    </row>
    <row r="947" ht="12.75">
      <c r="A947" s="2"/>
    </row>
    <row r="948" ht="12.75">
      <c r="A948" s="2"/>
    </row>
    <row r="949" ht="12.75">
      <c r="A949" s="2"/>
    </row>
    <row r="950" ht="12.75">
      <c r="A950" s="2"/>
    </row>
    <row r="951" ht="12.75">
      <c r="A951" s="2"/>
    </row>
    <row r="952" ht="12.75">
      <c r="A952" s="2"/>
    </row>
    <row r="953" ht="12.75">
      <c r="A953" s="2"/>
    </row>
    <row r="954" ht="12.75">
      <c r="A954" s="2"/>
    </row>
    <row r="955" ht="12.75">
      <c r="A955" s="2"/>
    </row>
    <row r="956" ht="12.75">
      <c r="A956" s="2"/>
    </row>
    <row r="957" ht="12.75">
      <c r="A957" s="2"/>
    </row>
    <row r="958" ht="12.75">
      <c r="A958" s="2"/>
    </row>
    <row r="959" ht="12.75">
      <c r="A959" s="2"/>
    </row>
    <row r="960" ht="12.75">
      <c r="A960" s="2"/>
    </row>
    <row r="961" ht="12.75">
      <c r="A961" s="2"/>
    </row>
    <row r="962" ht="12.75">
      <c r="A962" s="2"/>
    </row>
    <row r="963" ht="12.75">
      <c r="A963" s="2"/>
    </row>
    <row r="964" ht="12.75">
      <c r="A964" s="2"/>
    </row>
    <row r="965" ht="12.75">
      <c r="A965" s="2"/>
    </row>
    <row r="966" ht="12.75">
      <c r="A966" s="2"/>
    </row>
    <row r="967" ht="12.75">
      <c r="A967" s="2"/>
    </row>
    <row r="968" ht="12.75">
      <c r="A968" s="2"/>
    </row>
    <row r="969" ht="12.75">
      <c r="A969" s="2"/>
    </row>
    <row r="970" ht="12.75">
      <c r="A970" s="2"/>
    </row>
    <row r="971" ht="12.75">
      <c r="A971" s="2"/>
    </row>
    <row r="972" ht="12.75">
      <c r="A972" s="2"/>
    </row>
    <row r="973" ht="12.75">
      <c r="A973" s="2"/>
    </row>
    <row r="974" ht="12.75">
      <c r="A974" s="2"/>
    </row>
    <row r="975" ht="12.75">
      <c r="A975" s="2"/>
    </row>
    <row r="976" ht="12.75">
      <c r="A976" s="2"/>
    </row>
    <row r="977" ht="12.75">
      <c r="A977" s="2"/>
    </row>
    <row r="978" ht="12.75">
      <c r="A978" s="2"/>
    </row>
    <row r="979" ht="12.75">
      <c r="A979" s="2"/>
    </row>
    <row r="980" ht="12.75">
      <c r="A980" s="2"/>
    </row>
    <row r="981" ht="12.75">
      <c r="A981" s="2"/>
    </row>
    <row r="982" ht="12.75">
      <c r="A982" s="2"/>
    </row>
    <row r="983" ht="12.75">
      <c r="A983" s="2"/>
    </row>
    <row r="984" ht="12.75">
      <c r="A984" s="2"/>
    </row>
    <row r="985" ht="12.75">
      <c r="A985" s="2"/>
    </row>
    <row r="986" ht="12.75">
      <c r="A986" s="2"/>
    </row>
    <row r="987" ht="12.75">
      <c r="A987" s="2"/>
    </row>
    <row r="988" ht="12.75">
      <c r="A988" s="2"/>
    </row>
    <row r="989" ht="12.75">
      <c r="A989" s="2"/>
    </row>
    <row r="990" ht="12.75">
      <c r="A990" s="2"/>
    </row>
    <row r="991" ht="12.75">
      <c r="A991" s="2"/>
    </row>
    <row r="992" ht="12.75">
      <c r="A992" s="2"/>
    </row>
    <row r="993" ht="12.75">
      <c r="A993" s="2"/>
    </row>
    <row r="994" ht="12.75">
      <c r="A994" s="2"/>
    </row>
    <row r="995" ht="12.75">
      <c r="A995" s="2"/>
    </row>
    <row r="996" ht="12.75">
      <c r="A996" s="2"/>
    </row>
    <row r="997" ht="12.75">
      <c r="A997" s="2"/>
    </row>
    <row r="998" ht="12.75">
      <c r="A998" s="2"/>
    </row>
    <row r="999" ht="12.75">
      <c r="A999" s="2"/>
    </row>
    <row r="1000" ht="12.75">
      <c r="A1000" s="2"/>
    </row>
    <row r="1001" ht="12.75">
      <c r="A1001" s="2"/>
    </row>
    <row r="1002" ht="12.75">
      <c r="A1002" s="2"/>
    </row>
    <row r="1003" ht="12.75">
      <c r="A1003" s="2"/>
    </row>
    <row r="1004" ht="12.75">
      <c r="A1004" s="2"/>
    </row>
    <row r="1005" ht="12.75">
      <c r="A1005" s="2"/>
    </row>
    <row r="1006" ht="12.75">
      <c r="A1006" s="2"/>
    </row>
    <row r="1007" ht="12.75">
      <c r="A1007" s="2"/>
    </row>
    <row r="1008" ht="12.75">
      <c r="A1008" s="2"/>
    </row>
    <row r="1009" ht="12.75">
      <c r="A1009" s="2"/>
    </row>
    <row r="1010" ht="12.75">
      <c r="A1010" s="2"/>
    </row>
    <row r="1011" ht="12.75">
      <c r="A1011" s="2"/>
    </row>
    <row r="1012" ht="12.75">
      <c r="A1012" s="2"/>
    </row>
    <row r="1013" ht="12.75">
      <c r="A1013" s="2"/>
    </row>
    <row r="1014" ht="12.75">
      <c r="A1014" s="2"/>
    </row>
    <row r="1015" ht="12.75">
      <c r="A1015" s="2"/>
    </row>
    <row r="1016" ht="12.75">
      <c r="A1016" s="2"/>
    </row>
    <row r="1017" ht="12.75">
      <c r="A1017" s="2"/>
    </row>
    <row r="1018" ht="12.75">
      <c r="A1018" s="2"/>
    </row>
    <row r="1019" ht="12.75">
      <c r="A1019" s="2"/>
    </row>
    <row r="1020" ht="12.75">
      <c r="A1020" s="2"/>
    </row>
    <row r="1021" ht="12.75">
      <c r="A1021" s="2"/>
    </row>
    <row r="1022" ht="12.75">
      <c r="A1022" s="2"/>
    </row>
    <row r="1023" ht="12.75">
      <c r="A1023" s="2"/>
    </row>
    <row r="1024" ht="12.75">
      <c r="A1024" s="2"/>
    </row>
    <row r="1025" ht="12.75">
      <c r="A1025" s="2"/>
    </row>
    <row r="1026" ht="12.75">
      <c r="A1026" s="2"/>
    </row>
    <row r="1027" ht="12.75">
      <c r="A1027" s="2"/>
    </row>
    <row r="1028" ht="12.75">
      <c r="A1028" s="2"/>
    </row>
    <row r="1029" ht="12.75">
      <c r="A1029" s="2"/>
    </row>
    <row r="1030" ht="12.75">
      <c r="A1030" s="2"/>
    </row>
    <row r="1031" ht="12.75">
      <c r="A1031" s="2"/>
    </row>
    <row r="1032" ht="12.75">
      <c r="A1032" s="2"/>
    </row>
    <row r="1033" ht="12.75">
      <c r="A1033" s="2"/>
    </row>
    <row r="1034" ht="12.75">
      <c r="A1034" s="2"/>
    </row>
    <row r="1035" ht="12.75">
      <c r="A1035" s="2"/>
    </row>
    <row r="1036" ht="12.75">
      <c r="A1036" s="2"/>
    </row>
    <row r="1037" ht="12.75">
      <c r="A1037" s="2"/>
    </row>
    <row r="1038" ht="12.75">
      <c r="A1038" s="2"/>
    </row>
    <row r="1039" ht="12.75">
      <c r="A1039" s="2"/>
    </row>
    <row r="1040" ht="12.75">
      <c r="A1040" s="2"/>
    </row>
    <row r="1041" ht="12.75">
      <c r="A1041" s="2"/>
    </row>
    <row r="1042" ht="12.75">
      <c r="A1042" s="2"/>
    </row>
    <row r="1043" ht="12.75">
      <c r="A1043" s="2"/>
    </row>
    <row r="1044" ht="12.75">
      <c r="A1044" s="2"/>
    </row>
    <row r="1045" ht="12.75">
      <c r="A1045" s="2"/>
    </row>
    <row r="1046" ht="12.75">
      <c r="A1046" s="2"/>
    </row>
    <row r="1047" ht="12.75">
      <c r="A1047" s="2"/>
    </row>
    <row r="1048" ht="12.75">
      <c r="A1048" s="2"/>
    </row>
    <row r="1049" ht="12.75">
      <c r="A1049" s="2"/>
    </row>
    <row r="1050" ht="12.75">
      <c r="A1050" s="2"/>
    </row>
    <row r="1051" ht="12.75">
      <c r="A1051" s="2"/>
    </row>
    <row r="1052" ht="12.75">
      <c r="A1052" s="2"/>
    </row>
    <row r="1053" ht="12.75">
      <c r="A1053" s="2"/>
    </row>
    <row r="1054" ht="12.75">
      <c r="A1054" s="2"/>
    </row>
    <row r="1055" ht="12.75">
      <c r="A1055" s="2"/>
    </row>
    <row r="1056" ht="12.75">
      <c r="A1056" s="2"/>
    </row>
    <row r="1057" ht="12.75">
      <c r="A1057" s="2"/>
    </row>
    <row r="1058" ht="12.75">
      <c r="A1058" s="2"/>
    </row>
    <row r="1059" ht="12.75">
      <c r="A1059" s="2"/>
    </row>
    <row r="1060" ht="12.75">
      <c r="A1060" s="2"/>
    </row>
    <row r="1061" ht="12.75">
      <c r="A1061" s="2"/>
    </row>
    <row r="1062" ht="12.75">
      <c r="A1062" s="2"/>
    </row>
    <row r="1063" ht="12.75">
      <c r="A1063" s="2"/>
    </row>
    <row r="1064" ht="12.75">
      <c r="A1064" s="2"/>
    </row>
    <row r="1065" ht="12.75">
      <c r="A1065" s="2"/>
    </row>
    <row r="1066" ht="12.75">
      <c r="A1066" s="2"/>
    </row>
    <row r="1067" ht="12.75">
      <c r="A1067" s="2"/>
    </row>
    <row r="1068" ht="12.75">
      <c r="A1068" s="2"/>
    </row>
    <row r="1069" ht="12.75">
      <c r="A1069" s="2"/>
    </row>
    <row r="1070" ht="12.75">
      <c r="A1070" s="2"/>
    </row>
    <row r="1071" ht="12.75">
      <c r="A1071" s="2"/>
    </row>
    <row r="1072" ht="12.75">
      <c r="A1072" s="2"/>
    </row>
    <row r="1073" ht="12.75">
      <c r="A1073" s="2"/>
    </row>
    <row r="1074" ht="12.75">
      <c r="A1074" s="2"/>
    </row>
    <row r="1075" ht="12.75">
      <c r="A1075" s="2"/>
    </row>
    <row r="1076" ht="12.75">
      <c r="A1076" s="2"/>
    </row>
    <row r="1077" ht="12.75">
      <c r="A1077" s="2"/>
    </row>
    <row r="1078" ht="12.75">
      <c r="A1078" s="2"/>
    </row>
    <row r="1079" ht="12.75">
      <c r="A1079" s="2"/>
    </row>
    <row r="1080" ht="12.75">
      <c r="A1080" s="2"/>
    </row>
    <row r="1081" ht="12.75">
      <c r="A1081" s="2"/>
    </row>
    <row r="1082" ht="12.75">
      <c r="A1082" s="2"/>
    </row>
    <row r="1083" ht="12.75">
      <c r="A1083" s="2"/>
    </row>
    <row r="1084" ht="12.75">
      <c r="A1084" s="2"/>
    </row>
    <row r="1085" ht="12.75">
      <c r="A1085" s="2"/>
    </row>
    <row r="1086" ht="12.75">
      <c r="A1086" s="2"/>
    </row>
    <row r="1087" ht="12.75">
      <c r="A1087" s="2"/>
    </row>
    <row r="1088" ht="12.75">
      <c r="A1088" s="2"/>
    </row>
    <row r="1089" ht="12.75">
      <c r="A1089" s="2"/>
    </row>
    <row r="1090" ht="12.75">
      <c r="A1090" s="2"/>
    </row>
    <row r="1091" ht="12.75">
      <c r="A1091" s="2"/>
    </row>
    <row r="1092" ht="12.75">
      <c r="A1092" s="2"/>
    </row>
    <row r="1093" ht="12.75">
      <c r="A1093" s="2"/>
    </row>
    <row r="1094" ht="12.75">
      <c r="A1094" s="2"/>
    </row>
    <row r="1095" ht="12.75">
      <c r="A1095" s="2"/>
    </row>
    <row r="1096" ht="12.75">
      <c r="A1096" s="2"/>
    </row>
    <row r="1097" ht="12.75">
      <c r="A1097" s="2"/>
    </row>
    <row r="1098" ht="12.75">
      <c r="A1098" s="2"/>
    </row>
    <row r="1099" ht="12.75">
      <c r="A1099" s="2"/>
    </row>
    <row r="1100" ht="12.75">
      <c r="A1100" s="2"/>
    </row>
    <row r="1101" ht="12.75">
      <c r="A1101" s="2"/>
    </row>
    <row r="1102" ht="12.75">
      <c r="A1102" s="2"/>
    </row>
    <row r="1103" ht="12.75">
      <c r="A1103" s="2"/>
    </row>
    <row r="1104" ht="12.75">
      <c r="A1104" s="2"/>
    </row>
    <row r="1105" ht="12.75">
      <c r="A1105" s="2"/>
    </row>
    <row r="1106" ht="12.75">
      <c r="A1106" s="2"/>
    </row>
    <row r="1107" ht="12.75">
      <c r="A1107" s="2"/>
    </row>
    <row r="1108" ht="12.75">
      <c r="A1108" s="2"/>
    </row>
    <row r="1109" ht="12.75">
      <c r="A1109" s="2"/>
    </row>
    <row r="1110" ht="12.75">
      <c r="A1110" s="2"/>
    </row>
    <row r="1111" ht="12.75">
      <c r="A1111" s="2"/>
    </row>
    <row r="1112" ht="12.75">
      <c r="A1112" s="2"/>
    </row>
    <row r="1113" ht="12.75">
      <c r="A1113" s="2"/>
    </row>
    <row r="1114" ht="12.75">
      <c r="A1114" s="2"/>
    </row>
    <row r="1115" ht="12.75">
      <c r="A1115" s="2"/>
    </row>
    <row r="1116" ht="12.75">
      <c r="A1116" s="2"/>
    </row>
    <row r="1117" ht="12.75">
      <c r="A1117" s="2"/>
    </row>
    <row r="1118" ht="12.75">
      <c r="A1118" s="2"/>
    </row>
    <row r="1119" ht="12.75">
      <c r="A1119" s="2"/>
    </row>
    <row r="1120" ht="12.75">
      <c r="A1120" s="2"/>
    </row>
    <row r="1121" ht="12.75">
      <c r="A1121" s="2"/>
    </row>
    <row r="1122" ht="12.75">
      <c r="A1122" s="2"/>
    </row>
    <row r="1123" ht="12.75">
      <c r="A1123" s="2"/>
    </row>
    <row r="1124" ht="12.75">
      <c r="A1124" s="2"/>
    </row>
    <row r="1125" ht="12.75">
      <c r="A1125" s="2"/>
    </row>
    <row r="1126" ht="12.75">
      <c r="A1126" s="2"/>
    </row>
    <row r="1127" ht="12.75">
      <c r="A1127" s="2"/>
    </row>
    <row r="1128" ht="12.75">
      <c r="A1128" s="2"/>
    </row>
    <row r="1129" ht="12.75">
      <c r="A1129" s="2"/>
    </row>
    <row r="1130" ht="12.75">
      <c r="A1130" s="2"/>
    </row>
    <row r="1131" ht="12.75">
      <c r="A1131" s="2"/>
    </row>
    <row r="1132" ht="12.75">
      <c r="A1132" s="2"/>
    </row>
    <row r="1133" ht="12.75">
      <c r="A1133" s="2"/>
    </row>
    <row r="1134" ht="12.75">
      <c r="A1134" s="2"/>
    </row>
    <row r="1135" ht="12.75">
      <c r="A1135" s="2"/>
    </row>
    <row r="1136" ht="12.75">
      <c r="A1136" s="2"/>
    </row>
    <row r="1137" ht="12.75">
      <c r="A1137" s="2"/>
    </row>
    <row r="1138" ht="12.75">
      <c r="A1138" s="2"/>
    </row>
    <row r="1139" ht="12.75">
      <c r="A1139" s="2"/>
    </row>
    <row r="1140" ht="12.75">
      <c r="A1140" s="2"/>
    </row>
    <row r="1141" ht="12.75">
      <c r="A1141" s="2"/>
    </row>
    <row r="1142" ht="12.75">
      <c r="A1142" s="2"/>
    </row>
    <row r="1143" ht="12.75">
      <c r="A1143" s="2"/>
    </row>
    <row r="1144" ht="12.75">
      <c r="A1144" s="2"/>
    </row>
    <row r="1145" ht="12.75">
      <c r="A1145" s="2"/>
    </row>
    <row r="1146" ht="12.75">
      <c r="A1146" s="2"/>
    </row>
    <row r="1147" ht="12.75">
      <c r="A1147" s="2"/>
    </row>
    <row r="1148" ht="12.75">
      <c r="A1148" s="2"/>
    </row>
    <row r="1149" ht="12.75">
      <c r="A1149" s="2"/>
    </row>
    <row r="1150" ht="12.75">
      <c r="A1150" s="2"/>
    </row>
    <row r="1151" ht="12.75">
      <c r="A1151" s="2"/>
    </row>
    <row r="1152" ht="12.75">
      <c r="A1152" s="2"/>
    </row>
    <row r="1153" ht="12.75">
      <c r="A1153" s="2"/>
    </row>
    <row r="1154" ht="12.75">
      <c r="A1154" s="2"/>
    </row>
    <row r="1155" ht="12.75">
      <c r="A1155" s="2"/>
    </row>
    <row r="1156" ht="12.75">
      <c r="A1156" s="2"/>
    </row>
    <row r="1157" ht="12.75">
      <c r="A1157" s="2"/>
    </row>
    <row r="1158" ht="12.75">
      <c r="A1158" s="2"/>
    </row>
    <row r="1159" ht="12.75">
      <c r="A1159" s="2"/>
    </row>
    <row r="1160" ht="12.75">
      <c r="A1160" s="2"/>
    </row>
    <row r="1161" ht="12.75">
      <c r="A1161" s="2"/>
    </row>
    <row r="1162" ht="12.75">
      <c r="A1162" s="2"/>
    </row>
    <row r="1163" ht="12.75">
      <c r="A1163" s="2"/>
    </row>
    <row r="1164" ht="12.75">
      <c r="A1164" s="2"/>
    </row>
    <row r="1165" ht="12.75">
      <c r="A1165" s="2"/>
    </row>
    <row r="1166" ht="12.75">
      <c r="A1166" s="2"/>
    </row>
    <row r="1167" ht="12.75">
      <c r="A1167" s="2"/>
    </row>
    <row r="1168" ht="12.75">
      <c r="A1168" s="2"/>
    </row>
    <row r="1169" ht="12.75">
      <c r="A1169" s="2"/>
    </row>
    <row r="1170" ht="12.75">
      <c r="A1170" s="2"/>
    </row>
    <row r="1171" ht="12.75">
      <c r="A1171" s="2"/>
    </row>
    <row r="1172" ht="12.75">
      <c r="A1172" s="2"/>
    </row>
    <row r="1173" ht="12.75">
      <c r="A1173" s="2"/>
    </row>
    <row r="1174" ht="12.75">
      <c r="A1174" s="2"/>
    </row>
    <row r="1175" ht="12.75">
      <c r="A1175" s="2"/>
    </row>
    <row r="1176" ht="12.75">
      <c r="A1176" s="2"/>
    </row>
    <row r="1177" ht="12.75">
      <c r="A1177" s="2"/>
    </row>
    <row r="1178" ht="12.75">
      <c r="A1178" s="2"/>
    </row>
    <row r="1179" ht="12.75">
      <c r="A1179" s="2"/>
    </row>
    <row r="1180" ht="12.75">
      <c r="A1180" s="2"/>
    </row>
    <row r="1181" ht="12.75">
      <c r="A1181" s="2"/>
    </row>
    <row r="1182" ht="12.75">
      <c r="A1182" s="2"/>
    </row>
    <row r="1183" ht="12.75">
      <c r="A1183" s="2"/>
    </row>
    <row r="1184" ht="12.75">
      <c r="A1184" s="2"/>
    </row>
    <row r="1185" ht="12.75">
      <c r="A1185" s="2"/>
    </row>
    <row r="1186" ht="12.75">
      <c r="A1186" s="2"/>
    </row>
    <row r="1187" ht="12.75">
      <c r="A1187" s="2"/>
    </row>
    <row r="1188" ht="12.75">
      <c r="A1188" s="2"/>
    </row>
    <row r="1189" ht="12.75">
      <c r="A1189" s="2"/>
    </row>
    <row r="1190" ht="12.75">
      <c r="A1190" s="2"/>
    </row>
    <row r="1191" ht="12.75">
      <c r="A1191" s="2"/>
    </row>
    <row r="1192" ht="12.75">
      <c r="A1192" s="2"/>
    </row>
    <row r="1193" ht="12.75">
      <c r="A1193" s="2"/>
    </row>
    <row r="1194" ht="12.75">
      <c r="A1194" s="2"/>
    </row>
    <row r="1195" ht="12.75">
      <c r="A1195" s="2"/>
    </row>
    <row r="1196" ht="12.75">
      <c r="A1196" s="2"/>
    </row>
    <row r="1197" ht="12.75">
      <c r="A1197" s="2"/>
    </row>
    <row r="1198" ht="12.75">
      <c r="A1198" s="2"/>
    </row>
    <row r="1199" ht="12.75">
      <c r="A1199" s="2"/>
    </row>
    <row r="1200" ht="12.75">
      <c r="A1200" s="2"/>
    </row>
    <row r="1201" ht="12.75">
      <c r="A1201" s="2"/>
    </row>
    <row r="1202" ht="12.75">
      <c r="A1202" s="2"/>
    </row>
    <row r="1203" ht="12.75">
      <c r="A1203" s="2"/>
    </row>
    <row r="1204" ht="12.75">
      <c r="A1204" s="2"/>
    </row>
    <row r="1205" ht="12.75">
      <c r="A1205" s="2"/>
    </row>
    <row r="1206" ht="12.75">
      <c r="A1206" s="2"/>
    </row>
    <row r="1207" ht="12.75">
      <c r="A1207" s="2"/>
    </row>
    <row r="1208" ht="12.75">
      <c r="A1208" s="2"/>
    </row>
    <row r="1209" ht="12.75">
      <c r="A1209" s="2"/>
    </row>
    <row r="1210" ht="12.75">
      <c r="A1210" s="2"/>
    </row>
    <row r="1211" ht="12.75">
      <c r="A1211" s="2"/>
    </row>
    <row r="1212" ht="12.75">
      <c r="A1212" s="2"/>
    </row>
    <row r="1213" ht="12.75">
      <c r="A1213" s="2"/>
    </row>
    <row r="1214" ht="12.75">
      <c r="A1214" s="2"/>
    </row>
    <row r="1215" ht="12.75">
      <c r="A1215" s="2"/>
    </row>
    <row r="1216" ht="12.75">
      <c r="A1216" s="2"/>
    </row>
    <row r="1217" ht="12.75">
      <c r="A1217" s="2"/>
    </row>
    <row r="1218" ht="12.75">
      <c r="A1218" s="2"/>
    </row>
    <row r="1219" ht="12.75">
      <c r="A1219" s="2"/>
    </row>
    <row r="1220" ht="12.75">
      <c r="A1220" s="2"/>
    </row>
    <row r="1221" ht="12.75">
      <c r="A1221" s="2"/>
    </row>
    <row r="1222" ht="12.75">
      <c r="A1222" s="2"/>
    </row>
    <row r="1223" ht="12.75">
      <c r="A1223" s="2"/>
    </row>
    <row r="1224" ht="12.75">
      <c r="A1224" s="2"/>
    </row>
    <row r="1225" ht="12.75">
      <c r="A1225" s="2"/>
    </row>
    <row r="1226" ht="12.75">
      <c r="A1226" s="2"/>
    </row>
    <row r="1227" ht="12.75">
      <c r="A1227" s="2"/>
    </row>
    <row r="1228" ht="12.75">
      <c r="A1228" s="2"/>
    </row>
    <row r="1229" ht="12.75">
      <c r="A1229" s="2"/>
    </row>
    <row r="1230" ht="12.75">
      <c r="A1230" s="2"/>
    </row>
    <row r="1231" ht="12.75">
      <c r="A1231" s="2"/>
    </row>
    <row r="1232" ht="12.75">
      <c r="A1232" s="2"/>
    </row>
    <row r="1233" ht="12.75">
      <c r="A1233" s="2"/>
    </row>
    <row r="1234" ht="12.75">
      <c r="A1234" s="2"/>
    </row>
    <row r="1235" ht="12.75">
      <c r="A1235" s="2"/>
    </row>
    <row r="1236" ht="12.75">
      <c r="A1236" s="2"/>
    </row>
    <row r="1237" ht="12.75">
      <c r="A1237" s="2"/>
    </row>
    <row r="1238" ht="12.75">
      <c r="A1238" s="2"/>
    </row>
    <row r="1239" ht="12.75">
      <c r="A1239" s="2"/>
    </row>
    <row r="1240" ht="12.75">
      <c r="A1240" s="2"/>
    </row>
    <row r="1241" ht="12.75">
      <c r="A1241" s="2"/>
    </row>
    <row r="1242" ht="12.75">
      <c r="A1242" s="2"/>
    </row>
    <row r="1243" ht="12.75">
      <c r="A1243" s="2"/>
    </row>
    <row r="1244" ht="12.75">
      <c r="A1244" s="2"/>
    </row>
    <row r="1245" ht="12.75">
      <c r="A1245" s="2"/>
    </row>
    <row r="1246" ht="12.75">
      <c r="A1246" s="2"/>
    </row>
    <row r="1247" ht="12.75">
      <c r="A1247" s="2"/>
    </row>
    <row r="1248" ht="12.75">
      <c r="A1248" s="2"/>
    </row>
    <row r="1249" ht="12.75">
      <c r="A1249" s="2"/>
    </row>
    <row r="1250" ht="12.75">
      <c r="A1250" s="2"/>
    </row>
    <row r="1251" ht="12.75">
      <c r="A1251" s="2"/>
    </row>
    <row r="1252" ht="12.75">
      <c r="A1252" s="2"/>
    </row>
    <row r="1253" ht="12.75">
      <c r="A1253" s="2"/>
    </row>
    <row r="1254" ht="12.75">
      <c r="A1254" s="2"/>
    </row>
    <row r="1255" ht="12.75">
      <c r="A1255" s="2"/>
    </row>
    <row r="1256" ht="12.75">
      <c r="A1256" s="2"/>
    </row>
    <row r="1257" ht="12.75">
      <c r="A1257" s="2"/>
    </row>
    <row r="1258" ht="12.75">
      <c r="A1258" s="2"/>
    </row>
    <row r="1259" ht="12.75">
      <c r="A1259" s="2"/>
    </row>
    <row r="1260" ht="12.75">
      <c r="A1260" s="2"/>
    </row>
    <row r="1261" ht="12.75">
      <c r="A1261" s="2"/>
    </row>
    <row r="1262" ht="12.75">
      <c r="A1262" s="2"/>
    </row>
    <row r="1263" ht="12.75">
      <c r="A1263" s="2"/>
    </row>
    <row r="1264" ht="12.75">
      <c r="A1264" s="2"/>
    </row>
    <row r="1265" ht="12.75">
      <c r="A1265" s="2"/>
    </row>
    <row r="1266" ht="12.75">
      <c r="A1266" s="2"/>
    </row>
    <row r="1267" ht="12.75">
      <c r="A1267" s="2"/>
    </row>
    <row r="1268" ht="12.75">
      <c r="A1268" s="2"/>
    </row>
    <row r="1269" ht="12.75">
      <c r="A1269" s="2"/>
    </row>
    <row r="1270" ht="12.75">
      <c r="A1270" s="2"/>
    </row>
    <row r="1271" ht="12.75">
      <c r="A1271" s="2"/>
    </row>
    <row r="1272" ht="12.75">
      <c r="A1272" s="2"/>
    </row>
    <row r="1273" ht="12.75">
      <c r="A1273" s="2"/>
    </row>
    <row r="1274" ht="12.75">
      <c r="A1274" s="2"/>
    </row>
    <row r="1275" ht="12.75">
      <c r="A1275" s="2"/>
    </row>
    <row r="1276" ht="12.75">
      <c r="A1276" s="2"/>
    </row>
    <row r="1277" ht="12.75">
      <c r="A1277" s="2"/>
    </row>
    <row r="1278" ht="12.75">
      <c r="A1278" s="2"/>
    </row>
    <row r="1279" ht="12.75">
      <c r="A1279" s="2"/>
    </row>
    <row r="1280" ht="12.75">
      <c r="A1280" s="2"/>
    </row>
    <row r="1281" ht="12.75">
      <c r="A1281" s="2"/>
    </row>
    <row r="1282" ht="12.75">
      <c r="A1282" s="2"/>
    </row>
    <row r="1283" ht="12.75">
      <c r="A1283" s="2"/>
    </row>
    <row r="1284" ht="12.75">
      <c r="A1284" s="2"/>
    </row>
    <row r="1285" ht="12.75">
      <c r="A1285" s="2"/>
    </row>
    <row r="1286" ht="12.75">
      <c r="A1286" s="2"/>
    </row>
    <row r="1287" ht="12.75">
      <c r="A1287" s="2"/>
    </row>
    <row r="1288" ht="12.75">
      <c r="A1288" s="2"/>
    </row>
    <row r="1289" ht="12.75">
      <c r="A1289" s="2"/>
    </row>
    <row r="1290" ht="12.75">
      <c r="A1290" s="2"/>
    </row>
    <row r="1291" ht="12.75">
      <c r="A1291" s="2"/>
    </row>
    <row r="1292" ht="12.75">
      <c r="A1292" s="2"/>
    </row>
    <row r="1293" ht="12.75">
      <c r="A1293" s="2"/>
    </row>
    <row r="1294" ht="12.75">
      <c r="A1294" s="2"/>
    </row>
    <row r="1295" ht="12.75">
      <c r="A1295" s="2"/>
    </row>
    <row r="1296" ht="12.75">
      <c r="A1296" s="2"/>
    </row>
    <row r="1297" ht="12.75">
      <c r="A1297" s="2"/>
    </row>
    <row r="1298" ht="12.75">
      <c r="A1298" s="2"/>
    </row>
    <row r="1299" ht="12.75">
      <c r="A1299" s="2"/>
    </row>
    <row r="1300" ht="12.75">
      <c r="A1300" s="2"/>
    </row>
    <row r="1301" ht="12.75">
      <c r="A1301" s="2"/>
    </row>
    <row r="1302" ht="12.75">
      <c r="A1302" s="2"/>
    </row>
    <row r="1303" ht="12.75">
      <c r="A1303" s="2"/>
    </row>
    <row r="1304" ht="12.75">
      <c r="A1304" s="2"/>
    </row>
    <row r="1305" ht="12.75">
      <c r="A1305" s="2"/>
    </row>
    <row r="1306" ht="12.75">
      <c r="A1306" s="2"/>
    </row>
    <row r="1307" ht="12.75">
      <c r="A1307" s="2"/>
    </row>
    <row r="1308" ht="12.75">
      <c r="A1308" s="2"/>
    </row>
    <row r="1309" ht="12.75">
      <c r="A1309" s="2"/>
    </row>
    <row r="1310" ht="12.75">
      <c r="A1310" s="2"/>
    </row>
    <row r="1311" ht="12.75">
      <c r="A1311" s="2"/>
    </row>
    <row r="1312" ht="12.75">
      <c r="A1312" s="2"/>
    </row>
    <row r="1313" ht="12.75">
      <c r="A1313" s="2"/>
    </row>
    <row r="1314" ht="12.75">
      <c r="A1314" s="2"/>
    </row>
    <row r="1315" ht="12.75">
      <c r="A1315" s="2"/>
    </row>
    <row r="1316" ht="12.75">
      <c r="A1316" s="2"/>
    </row>
    <row r="1317" ht="12.75">
      <c r="A1317" s="2"/>
    </row>
    <row r="1318" ht="12.75">
      <c r="A1318" s="2"/>
    </row>
    <row r="1319" ht="12.75">
      <c r="A1319" s="2"/>
    </row>
    <row r="1320" ht="12.75">
      <c r="A1320" s="2"/>
    </row>
    <row r="1321" ht="12.75">
      <c r="A1321" s="2"/>
    </row>
    <row r="1322" ht="12.75">
      <c r="A1322" s="2"/>
    </row>
    <row r="1323" ht="12.75">
      <c r="A1323" s="2"/>
    </row>
    <row r="1324" ht="12.75">
      <c r="A1324" s="2"/>
    </row>
    <row r="1325" ht="12.75">
      <c r="A1325" s="2"/>
    </row>
    <row r="1326" ht="12.75">
      <c r="A1326" s="2"/>
    </row>
    <row r="1327" ht="12.75">
      <c r="A1327" s="2"/>
    </row>
    <row r="1328" ht="12.75">
      <c r="A1328" s="2"/>
    </row>
    <row r="1329" ht="12.75">
      <c r="A1329" s="2"/>
    </row>
    <row r="1330" ht="12.75">
      <c r="A1330" s="2"/>
    </row>
    <row r="1331" ht="12.75">
      <c r="A1331" s="2"/>
    </row>
    <row r="1332" ht="12.75">
      <c r="A1332" s="2"/>
    </row>
    <row r="1333" ht="12.75">
      <c r="A1333" s="2"/>
    </row>
    <row r="1334" ht="12.75">
      <c r="A1334" s="2"/>
    </row>
    <row r="1335" ht="12.75">
      <c r="A1335" s="2"/>
    </row>
    <row r="1336" ht="12.75">
      <c r="A1336" s="2"/>
    </row>
    <row r="1337" ht="12.75">
      <c r="A1337" s="2"/>
    </row>
    <row r="1338" ht="12.75">
      <c r="A1338" s="2"/>
    </row>
    <row r="1339" ht="12.75">
      <c r="A1339" s="2"/>
    </row>
    <row r="1340" ht="12.75">
      <c r="A1340" s="2"/>
    </row>
    <row r="1341" ht="12.75">
      <c r="A1341" s="2"/>
    </row>
    <row r="1342" ht="12.75">
      <c r="A1342" s="2"/>
    </row>
    <row r="1343" ht="12.75">
      <c r="A1343" s="2"/>
    </row>
    <row r="1344" ht="12.75">
      <c r="A1344" s="2"/>
    </row>
    <row r="1345" ht="12.75">
      <c r="A1345" s="2"/>
    </row>
    <row r="1346" ht="12.75">
      <c r="A1346" s="2"/>
    </row>
    <row r="1347" ht="12.75">
      <c r="A1347" s="2"/>
    </row>
    <row r="1348" ht="12.75">
      <c r="A1348" s="2"/>
    </row>
    <row r="1349" ht="12.75">
      <c r="A1349" s="2"/>
    </row>
    <row r="1350" ht="12.75">
      <c r="A1350" s="2"/>
    </row>
    <row r="1351" ht="12.75">
      <c r="A1351" s="2"/>
    </row>
    <row r="1352" ht="12.75">
      <c r="A1352" s="2"/>
    </row>
    <row r="1353" ht="12.75">
      <c r="A1353" s="2"/>
    </row>
    <row r="1354" ht="12.75">
      <c r="A1354" s="2"/>
    </row>
    <row r="1355" ht="12.75">
      <c r="A1355" s="2"/>
    </row>
    <row r="1356" ht="12.75">
      <c r="A1356" s="2"/>
    </row>
    <row r="1357" ht="12.75">
      <c r="A1357" s="2"/>
    </row>
    <row r="1358" ht="12.75">
      <c r="A1358" s="2"/>
    </row>
    <row r="1359" ht="12.75">
      <c r="A1359" s="2"/>
    </row>
    <row r="1360" ht="12.75">
      <c r="A1360" s="2"/>
    </row>
    <row r="1361" ht="12.75">
      <c r="A1361" s="2"/>
    </row>
    <row r="1362" ht="12.75">
      <c r="A1362" s="2"/>
    </row>
    <row r="1363" ht="12.75">
      <c r="A1363" s="2"/>
    </row>
    <row r="1364" ht="12.75">
      <c r="A1364" s="2"/>
    </row>
    <row r="1365" ht="12.75">
      <c r="A1365" s="2"/>
    </row>
    <row r="1366" ht="12.75">
      <c r="A1366" s="2"/>
    </row>
    <row r="1367" ht="12.75">
      <c r="A1367" s="2"/>
    </row>
    <row r="1368" ht="12.75">
      <c r="A1368" s="2"/>
    </row>
    <row r="1369" ht="12.75">
      <c r="A1369" s="2"/>
    </row>
    <row r="1370" ht="12.75">
      <c r="A1370" s="2"/>
    </row>
    <row r="1371" ht="12.75">
      <c r="A1371" s="2"/>
    </row>
    <row r="1372" ht="12.75">
      <c r="A1372" s="2"/>
    </row>
    <row r="1373" ht="12.75">
      <c r="A1373" s="2"/>
    </row>
    <row r="1374" ht="12.75">
      <c r="A1374" s="2"/>
    </row>
    <row r="1375" ht="12.75">
      <c r="A1375" s="2"/>
    </row>
    <row r="1376" ht="12.75">
      <c r="A1376" s="2"/>
    </row>
    <row r="1377" ht="12.75">
      <c r="A1377" s="2"/>
    </row>
    <row r="1378" ht="12.75">
      <c r="A1378" s="2"/>
    </row>
    <row r="1379" ht="12.75">
      <c r="A1379" s="2"/>
    </row>
    <row r="1380" ht="12.75">
      <c r="A1380" s="2"/>
    </row>
    <row r="1381" ht="12.75">
      <c r="A1381" s="2"/>
    </row>
    <row r="1382" ht="12.75">
      <c r="A1382" s="2"/>
    </row>
    <row r="1383" ht="12.75">
      <c r="A1383" s="2"/>
    </row>
    <row r="1384" ht="12.75">
      <c r="A1384" s="2"/>
    </row>
    <row r="1385" ht="12.75">
      <c r="A1385" s="2"/>
    </row>
    <row r="1386" ht="12.75">
      <c r="A1386" s="2"/>
    </row>
    <row r="1387" ht="12.75">
      <c r="A1387" s="2"/>
    </row>
    <row r="1388" ht="12.75">
      <c r="A1388" s="2"/>
    </row>
    <row r="1389" ht="12.75">
      <c r="A1389" s="2"/>
    </row>
    <row r="1390" ht="12.75">
      <c r="A1390" s="2"/>
    </row>
    <row r="1391" ht="12.75">
      <c r="A1391" s="2"/>
    </row>
    <row r="1392" ht="12.75">
      <c r="A1392" s="2"/>
    </row>
    <row r="1393" ht="12.75">
      <c r="A1393" s="2"/>
    </row>
    <row r="1394" ht="12.75">
      <c r="A1394" s="2"/>
    </row>
    <row r="1395" ht="12.75">
      <c r="A1395" s="2"/>
    </row>
    <row r="1396" ht="12.75">
      <c r="A1396" s="2"/>
    </row>
    <row r="1397" ht="12.75">
      <c r="A1397" s="2"/>
    </row>
    <row r="1398" ht="12.75">
      <c r="A1398" s="2"/>
    </row>
    <row r="1399" ht="12.75">
      <c r="A1399" s="2"/>
    </row>
    <row r="1400" ht="12.75">
      <c r="A1400" s="2"/>
    </row>
    <row r="1401" ht="12.75">
      <c r="A1401" s="2"/>
    </row>
    <row r="1402" ht="12.75">
      <c r="A1402" s="2"/>
    </row>
    <row r="1403" ht="12.75">
      <c r="A1403" s="2"/>
    </row>
    <row r="1404" ht="12.75">
      <c r="A1404" s="2"/>
    </row>
    <row r="1405" ht="12.75">
      <c r="A1405" s="2"/>
    </row>
    <row r="1406" ht="12.75">
      <c r="A1406" s="2"/>
    </row>
    <row r="1407" ht="12.75">
      <c r="A1407" s="2"/>
    </row>
    <row r="1408" ht="12.75">
      <c r="A1408" s="2"/>
    </row>
    <row r="1409" ht="12.75">
      <c r="A1409" s="2"/>
    </row>
    <row r="1410" ht="12.75">
      <c r="A1410" s="2"/>
    </row>
    <row r="1411" ht="12.75">
      <c r="A1411" s="2"/>
    </row>
    <row r="1412" ht="12.75">
      <c r="A1412" s="2"/>
    </row>
    <row r="1413" ht="12.75">
      <c r="A1413" s="2"/>
    </row>
    <row r="1414" ht="12.75">
      <c r="A1414" s="2"/>
    </row>
    <row r="1415" ht="12.75">
      <c r="A1415" s="2"/>
    </row>
    <row r="1416" ht="12.75">
      <c r="A1416" s="2"/>
    </row>
    <row r="1417" ht="12.75">
      <c r="A1417" s="2"/>
    </row>
    <row r="1418" ht="12.75">
      <c r="A1418" s="2"/>
    </row>
    <row r="1419" ht="12.75">
      <c r="A1419" s="2"/>
    </row>
    <row r="1420" ht="12.75">
      <c r="A1420" s="2"/>
    </row>
    <row r="1421" ht="12.75">
      <c r="A1421" s="2"/>
    </row>
    <row r="1422" ht="12.75">
      <c r="A1422" s="2"/>
    </row>
    <row r="1423" ht="12.75">
      <c r="A1423" s="2"/>
    </row>
    <row r="1424" ht="12.75">
      <c r="A1424" s="2"/>
    </row>
    <row r="1425" ht="12.75">
      <c r="A1425" s="2"/>
    </row>
    <row r="1426" ht="12.75">
      <c r="A1426" s="2"/>
    </row>
    <row r="1427" ht="12.75">
      <c r="A1427" s="2"/>
    </row>
    <row r="1428" ht="12.75">
      <c r="A1428" s="2"/>
    </row>
    <row r="1429" ht="12.75">
      <c r="A1429" s="2"/>
    </row>
    <row r="1430" ht="12.75">
      <c r="A1430" s="2"/>
    </row>
    <row r="1431" ht="12.75">
      <c r="A1431" s="2"/>
    </row>
    <row r="1432" ht="12.75">
      <c r="A1432" s="2"/>
    </row>
    <row r="1433" ht="12.75">
      <c r="A1433" s="2"/>
    </row>
    <row r="1434" ht="12.75">
      <c r="A1434" s="2"/>
    </row>
    <row r="1435" ht="12.75">
      <c r="A1435" s="2"/>
    </row>
    <row r="1436" ht="12.75">
      <c r="A1436" s="2"/>
    </row>
    <row r="1437" ht="12.75">
      <c r="A1437" s="2"/>
    </row>
    <row r="1438" ht="12.75">
      <c r="A1438" s="2"/>
    </row>
    <row r="1439" ht="12.75">
      <c r="A1439" s="2"/>
    </row>
    <row r="1440" ht="12.75">
      <c r="A1440" s="2"/>
    </row>
    <row r="1441" ht="12.75">
      <c r="A1441" s="2"/>
    </row>
    <row r="1442" ht="12.75">
      <c r="A1442" s="2"/>
    </row>
    <row r="1443" ht="12.75">
      <c r="A1443" s="2"/>
    </row>
    <row r="1444" ht="12.75">
      <c r="A1444" s="2"/>
    </row>
    <row r="1445" ht="12.75">
      <c r="A1445" s="2"/>
    </row>
    <row r="1446" ht="12.75">
      <c r="A1446" s="2"/>
    </row>
    <row r="1447" ht="12.75">
      <c r="A1447" s="2"/>
    </row>
    <row r="1448" ht="12.75">
      <c r="A1448" s="2"/>
    </row>
    <row r="1449" ht="12.75">
      <c r="A1449" s="2"/>
    </row>
    <row r="1450" ht="12.75">
      <c r="A1450" s="2"/>
    </row>
    <row r="1451" ht="12.75">
      <c r="A1451" s="2"/>
    </row>
    <row r="1452" ht="12.75">
      <c r="A1452" s="2"/>
    </row>
    <row r="1453" ht="12.75">
      <c r="A1453" s="2"/>
    </row>
    <row r="1454" ht="12.75">
      <c r="A1454" s="2"/>
    </row>
    <row r="1455" ht="12.75">
      <c r="A1455" s="2"/>
    </row>
    <row r="1456" ht="12.75">
      <c r="A1456" s="2"/>
    </row>
    <row r="1457" ht="12.75">
      <c r="A1457" s="2"/>
    </row>
    <row r="1458" ht="12.75">
      <c r="A1458" s="2"/>
    </row>
    <row r="1459" ht="12.75">
      <c r="A1459" s="2"/>
    </row>
    <row r="1460" ht="12.75">
      <c r="A1460" s="2"/>
    </row>
    <row r="1461" ht="12.75">
      <c r="A1461" s="2"/>
    </row>
    <row r="1462" ht="12.75">
      <c r="A1462" s="2"/>
    </row>
    <row r="1463" ht="12.75">
      <c r="A1463" s="2"/>
    </row>
    <row r="1464" ht="12.75">
      <c r="A1464" s="2"/>
    </row>
    <row r="1465" ht="12.75">
      <c r="A1465" s="2"/>
    </row>
    <row r="1466" ht="12.75">
      <c r="A1466" s="2"/>
    </row>
    <row r="1467" ht="12.75">
      <c r="A1467" s="2"/>
    </row>
    <row r="1468" ht="12.75">
      <c r="A1468" s="2"/>
    </row>
    <row r="1469" ht="12.75">
      <c r="A1469" s="2"/>
    </row>
    <row r="1470" ht="12.75">
      <c r="A1470" s="2"/>
    </row>
    <row r="1471" ht="12.75">
      <c r="A1471" s="2"/>
    </row>
    <row r="1472" ht="12.75">
      <c r="A1472" s="2"/>
    </row>
    <row r="1473" ht="12.75">
      <c r="A1473" s="2"/>
    </row>
    <row r="1474" ht="12.75">
      <c r="A1474" s="2"/>
    </row>
    <row r="1475" ht="12.75">
      <c r="A1475" s="2"/>
    </row>
    <row r="1476" ht="12.75">
      <c r="A1476" s="2"/>
    </row>
    <row r="1477" ht="12.75">
      <c r="A1477" s="2"/>
    </row>
    <row r="1478" ht="12.75">
      <c r="A1478" s="2"/>
    </row>
    <row r="1479" ht="12.75">
      <c r="A1479" s="2"/>
    </row>
    <row r="1480" ht="12.75">
      <c r="A1480" s="2"/>
    </row>
    <row r="1481" ht="12.75">
      <c r="A1481" s="2"/>
    </row>
    <row r="1482" ht="12.75">
      <c r="A1482" s="2"/>
    </row>
    <row r="1483" ht="12.75">
      <c r="A1483" s="2"/>
    </row>
    <row r="1484" ht="12.75">
      <c r="A1484" s="2"/>
    </row>
    <row r="1485" ht="12.75">
      <c r="A1485" s="2"/>
    </row>
    <row r="1486" ht="12.75">
      <c r="A1486" s="2"/>
    </row>
    <row r="1487" ht="12.75">
      <c r="A1487" s="2"/>
    </row>
    <row r="1488" ht="12.75">
      <c r="A1488" s="2"/>
    </row>
    <row r="1489" ht="12.75">
      <c r="A1489" s="2"/>
    </row>
    <row r="1490" ht="12.75">
      <c r="A1490" s="2"/>
    </row>
    <row r="1491" ht="12.75">
      <c r="A1491" s="2"/>
    </row>
    <row r="1492" ht="12.75">
      <c r="A1492" s="2"/>
    </row>
    <row r="1493" ht="12.75">
      <c r="A1493" s="2"/>
    </row>
    <row r="1494" ht="12.75">
      <c r="A1494" s="2"/>
    </row>
    <row r="1495" ht="12.75">
      <c r="A1495" s="2"/>
    </row>
    <row r="1496" ht="12.75">
      <c r="A1496" s="2"/>
    </row>
    <row r="1497" ht="12.75">
      <c r="A1497" s="2"/>
    </row>
    <row r="1498" ht="12.75">
      <c r="A1498" s="2"/>
    </row>
    <row r="1499" ht="12.75">
      <c r="A1499" s="2"/>
    </row>
    <row r="1500" ht="12.75">
      <c r="A1500" s="2"/>
    </row>
    <row r="1501" ht="12.75">
      <c r="A1501" s="2"/>
    </row>
    <row r="1502" ht="12.75">
      <c r="A1502" s="2"/>
    </row>
    <row r="1503" ht="12.75">
      <c r="A1503" s="2"/>
    </row>
    <row r="1504" ht="12.75">
      <c r="A1504" s="2"/>
    </row>
    <row r="1505" ht="12.75">
      <c r="A1505" s="2"/>
    </row>
    <row r="1506" ht="12.75">
      <c r="A1506" s="2"/>
    </row>
    <row r="1507" ht="12.75">
      <c r="A1507" s="2"/>
    </row>
    <row r="1508" ht="12.75">
      <c r="A1508" s="2"/>
    </row>
    <row r="1509" ht="12.75">
      <c r="A1509" s="2"/>
    </row>
    <row r="1510" ht="12.75">
      <c r="A1510" s="2"/>
    </row>
    <row r="1511" ht="12.75">
      <c r="A1511" s="2"/>
    </row>
    <row r="1512" ht="12.75">
      <c r="A1512" s="2"/>
    </row>
    <row r="1513" ht="12.75">
      <c r="A1513" s="2"/>
    </row>
    <row r="1514" ht="12.75">
      <c r="A1514" s="2"/>
    </row>
    <row r="1515" ht="12.75">
      <c r="A1515" s="2"/>
    </row>
    <row r="1516" ht="12.75">
      <c r="A1516" s="2"/>
    </row>
    <row r="1517" ht="12.75">
      <c r="A1517" s="2"/>
    </row>
    <row r="1518" ht="12.75">
      <c r="A1518" s="2"/>
    </row>
    <row r="1519" ht="12.75">
      <c r="A1519" s="2"/>
    </row>
    <row r="1520" ht="12.75">
      <c r="A1520" s="2"/>
    </row>
    <row r="1521" ht="12.75">
      <c r="A1521" s="2"/>
    </row>
    <row r="1522" ht="12.75">
      <c r="A1522" s="2"/>
    </row>
    <row r="1523" ht="12.75">
      <c r="A1523" s="2"/>
    </row>
    <row r="1524" ht="12.75">
      <c r="A1524" s="2"/>
    </row>
    <row r="1525" ht="12.75">
      <c r="A1525" s="2"/>
    </row>
    <row r="1526" ht="12.75">
      <c r="A1526" s="2"/>
    </row>
    <row r="1527" ht="12.75">
      <c r="A1527" s="2"/>
    </row>
    <row r="1528" ht="12.75">
      <c r="A1528" s="2"/>
    </row>
    <row r="1529" ht="12.75">
      <c r="A1529" s="2"/>
    </row>
    <row r="1530" ht="12.75">
      <c r="A1530" s="2"/>
    </row>
    <row r="1531" ht="12.75">
      <c r="A1531" s="2"/>
    </row>
    <row r="1532" ht="12.75">
      <c r="A1532" s="2"/>
    </row>
    <row r="1533" ht="12.75">
      <c r="A1533" s="2"/>
    </row>
    <row r="1534" ht="12.75">
      <c r="A1534" s="2"/>
    </row>
    <row r="1535" ht="12.75">
      <c r="A1535" s="2"/>
    </row>
    <row r="1536" ht="12.75">
      <c r="A1536" s="2"/>
    </row>
    <row r="1537" ht="12.75">
      <c r="A1537" s="2"/>
    </row>
    <row r="1538" ht="12.75">
      <c r="A1538" s="2"/>
    </row>
    <row r="1539" ht="12.75">
      <c r="A1539" s="2"/>
    </row>
    <row r="1540" ht="12.75">
      <c r="A1540" s="2"/>
    </row>
    <row r="1541" ht="12.75">
      <c r="A1541" s="2"/>
    </row>
    <row r="1542" ht="12.75">
      <c r="A1542" s="2"/>
    </row>
    <row r="1543" ht="12.75">
      <c r="A1543" s="2"/>
    </row>
    <row r="1544" ht="12.75">
      <c r="A1544" s="2"/>
    </row>
    <row r="1545" ht="12.75">
      <c r="A1545" s="2"/>
    </row>
    <row r="1546" ht="12.75">
      <c r="A1546" s="2"/>
    </row>
    <row r="1547" ht="12.75">
      <c r="A1547" s="2"/>
    </row>
    <row r="1548" ht="12.75">
      <c r="A1548" s="2"/>
    </row>
    <row r="1549" ht="12.75">
      <c r="A1549" s="2"/>
    </row>
    <row r="1550" ht="12.75">
      <c r="A1550" s="2"/>
    </row>
    <row r="1551" ht="12.75">
      <c r="A1551" s="2"/>
    </row>
    <row r="1552" ht="12.75">
      <c r="A1552" s="2"/>
    </row>
    <row r="1553" ht="12.75">
      <c r="A1553" s="2"/>
    </row>
    <row r="1554" ht="12.75">
      <c r="A1554" s="2"/>
    </row>
    <row r="1555" ht="12.75">
      <c r="A1555" s="2"/>
    </row>
    <row r="1556" ht="12.75">
      <c r="A1556" s="2"/>
    </row>
    <row r="1557" ht="12.75">
      <c r="A1557" s="2"/>
    </row>
    <row r="1558" ht="12.75">
      <c r="A1558" s="2"/>
    </row>
    <row r="1559" ht="12.75">
      <c r="A1559" s="2"/>
    </row>
    <row r="1560" ht="12.75">
      <c r="A1560" s="2"/>
    </row>
    <row r="1561" ht="12.75">
      <c r="A1561" s="2"/>
    </row>
    <row r="1562" ht="12.75">
      <c r="A1562" s="2"/>
    </row>
    <row r="1563" ht="12.75">
      <c r="A1563" s="2"/>
    </row>
    <row r="1564" ht="12.75">
      <c r="A1564" s="2"/>
    </row>
    <row r="1565" ht="12.75">
      <c r="A1565" s="2"/>
    </row>
    <row r="1566" ht="12.75">
      <c r="A1566" s="2"/>
    </row>
    <row r="1567" ht="12.75">
      <c r="A1567" s="2"/>
    </row>
    <row r="1568" ht="12.75">
      <c r="A1568" s="2"/>
    </row>
    <row r="1569" ht="12.75">
      <c r="A1569" s="2"/>
    </row>
    <row r="1570" ht="12.75">
      <c r="A1570" s="2"/>
    </row>
    <row r="1571" ht="12.75">
      <c r="A1571" s="2"/>
    </row>
    <row r="1572" ht="12.75">
      <c r="A1572" s="2"/>
    </row>
    <row r="1573" ht="12.75">
      <c r="A1573" s="2"/>
    </row>
    <row r="1574" ht="12.75">
      <c r="A1574" s="2"/>
    </row>
    <row r="1575" ht="12.75">
      <c r="A1575" s="2"/>
    </row>
    <row r="1576" ht="12.75">
      <c r="A1576" s="2"/>
    </row>
    <row r="1577" ht="12.75">
      <c r="A1577" s="2"/>
    </row>
    <row r="1578" ht="12.75">
      <c r="A1578" s="2"/>
    </row>
    <row r="1579" ht="12.75">
      <c r="A1579" s="2"/>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row r="2065" ht="12.75">
      <c r="A2065" s="2"/>
    </row>
    <row r="2066" ht="12.75">
      <c r="A2066" s="2"/>
    </row>
    <row r="2067" ht="12.75">
      <c r="A2067" s="2"/>
    </row>
    <row r="2068" ht="12.75">
      <c r="A2068" s="2"/>
    </row>
    <row r="2069" ht="12.75">
      <c r="A2069" s="2"/>
    </row>
    <row r="2070" ht="12.75">
      <c r="A2070" s="2"/>
    </row>
    <row r="2071" ht="12.75">
      <c r="A2071" s="2"/>
    </row>
    <row r="2072" ht="12.75">
      <c r="A2072" s="2"/>
    </row>
    <row r="2073" ht="12.75">
      <c r="A2073" s="2"/>
    </row>
    <row r="2074" ht="12.75">
      <c r="A2074" s="2"/>
    </row>
    <row r="2075" ht="12.75">
      <c r="A2075" s="2"/>
    </row>
    <row r="2076" ht="12.75">
      <c r="A2076" s="2"/>
    </row>
    <row r="2077" ht="12.75">
      <c r="A2077" s="2"/>
    </row>
    <row r="2078" ht="12.75">
      <c r="A2078" s="2"/>
    </row>
    <row r="2079" ht="12.75">
      <c r="A2079" s="2"/>
    </row>
    <row r="2080" ht="12.75">
      <c r="A2080" s="2"/>
    </row>
    <row r="2081" ht="12.75">
      <c r="A2081" s="2"/>
    </row>
    <row r="2082" ht="12.75">
      <c r="A2082" s="2"/>
    </row>
    <row r="2083" ht="12.75">
      <c r="A2083" s="2"/>
    </row>
    <row r="2084" ht="12.75">
      <c r="A2084" s="2"/>
    </row>
    <row r="2085" ht="12.75">
      <c r="A2085" s="2"/>
    </row>
    <row r="2086" ht="12.75">
      <c r="A2086" s="2"/>
    </row>
    <row r="2087" ht="12.75">
      <c r="A2087" s="2"/>
    </row>
    <row r="2088" ht="12.75">
      <c r="A2088" s="2"/>
    </row>
    <row r="2089" ht="12.75">
      <c r="A2089" s="2"/>
    </row>
    <row r="2090" ht="12.75">
      <c r="A2090" s="2"/>
    </row>
    <row r="2091" ht="12.75">
      <c r="A2091" s="2"/>
    </row>
    <row r="2092" ht="12.75">
      <c r="A2092" s="2"/>
    </row>
    <row r="2093" ht="12.75">
      <c r="A2093" s="2"/>
    </row>
    <row r="2094" ht="12.75">
      <c r="A2094" s="2"/>
    </row>
    <row r="2095" ht="12.75">
      <c r="A2095" s="2"/>
    </row>
    <row r="2096" ht="12.75">
      <c r="A2096" s="2"/>
    </row>
    <row r="2097" ht="12.75">
      <c r="A2097" s="2"/>
    </row>
    <row r="2098" ht="12.75">
      <c r="A2098" s="2"/>
    </row>
    <row r="2099" ht="12.75">
      <c r="A2099" s="2"/>
    </row>
    <row r="2100" ht="12.75">
      <c r="A2100" s="2"/>
    </row>
    <row r="2101" ht="12.75">
      <c r="A2101" s="2"/>
    </row>
    <row r="2102" ht="12.75">
      <c r="A2102" s="2"/>
    </row>
    <row r="2103" ht="12.75">
      <c r="A2103" s="2"/>
    </row>
    <row r="2104" ht="12.75">
      <c r="A2104" s="2"/>
    </row>
    <row r="2105" ht="12.75">
      <c r="A2105" s="2"/>
    </row>
    <row r="2106" ht="12.75">
      <c r="A2106" s="2"/>
    </row>
    <row r="2107" ht="12.75">
      <c r="A2107" s="2"/>
    </row>
    <row r="2108" ht="12.75">
      <c r="A2108" s="2"/>
    </row>
    <row r="2109" ht="12.75">
      <c r="A2109" s="2"/>
    </row>
    <row r="2110" ht="12.75">
      <c r="A2110" s="2"/>
    </row>
    <row r="2111" ht="12.75">
      <c r="A2111" s="2"/>
    </row>
    <row r="2112" ht="12.75">
      <c r="A2112" s="2"/>
    </row>
    <row r="2113" ht="12.75">
      <c r="A2113" s="2"/>
    </row>
    <row r="2114" ht="12.75">
      <c r="A2114" s="2"/>
    </row>
    <row r="2115" ht="12.75">
      <c r="A2115" s="2"/>
    </row>
    <row r="2116" ht="12.75">
      <c r="A2116" s="2"/>
    </row>
    <row r="2117" ht="12.75">
      <c r="A2117" s="2"/>
    </row>
    <row r="2118" ht="12.75">
      <c r="A2118" s="2"/>
    </row>
    <row r="2119" ht="12.75">
      <c r="A2119" s="2"/>
    </row>
    <row r="2120" ht="12.75">
      <c r="A2120" s="2"/>
    </row>
    <row r="2121" ht="12.75">
      <c r="A2121" s="2"/>
    </row>
    <row r="2122" ht="12.75">
      <c r="A2122" s="2"/>
    </row>
    <row r="2123" ht="12.75">
      <c r="A2123" s="2"/>
    </row>
    <row r="2124" ht="12.75">
      <c r="A2124" s="2"/>
    </row>
    <row r="2125" ht="12.75">
      <c r="A2125" s="2"/>
    </row>
    <row r="2126" ht="12.75">
      <c r="A2126" s="2"/>
    </row>
    <row r="2127" ht="12.75">
      <c r="A2127" s="2"/>
    </row>
    <row r="2128" ht="12.75">
      <c r="A2128" s="2"/>
    </row>
    <row r="2129" ht="12.75">
      <c r="A2129" s="2"/>
    </row>
    <row r="2130" ht="12.75">
      <c r="A2130" s="2"/>
    </row>
    <row r="2131" ht="12.75">
      <c r="A2131" s="2"/>
    </row>
    <row r="2132" ht="12.75">
      <c r="A2132" s="2"/>
    </row>
    <row r="2133" ht="12.75">
      <c r="A2133" s="2"/>
    </row>
    <row r="2134" ht="12.75">
      <c r="A2134" s="2"/>
    </row>
    <row r="2135" ht="12.75">
      <c r="A2135" s="2"/>
    </row>
    <row r="2136" ht="12.75">
      <c r="A2136" s="2"/>
    </row>
    <row r="2137" ht="12.75">
      <c r="A2137" s="2"/>
    </row>
    <row r="2138" ht="12.75">
      <c r="A2138" s="2"/>
    </row>
    <row r="2139" ht="12.75">
      <c r="A2139" s="2"/>
    </row>
    <row r="2140" ht="12.75">
      <c r="A2140" s="2"/>
    </row>
    <row r="2141" ht="12.75">
      <c r="A2141" s="2"/>
    </row>
    <row r="2142" ht="12.75">
      <c r="A2142" s="2"/>
    </row>
    <row r="2143" ht="12.75">
      <c r="A2143" s="2"/>
    </row>
    <row r="2144" ht="12.75">
      <c r="A2144" s="2"/>
    </row>
    <row r="2145" ht="12.75">
      <c r="A2145" s="2"/>
    </row>
    <row r="2146" ht="12.75">
      <c r="A2146" s="2"/>
    </row>
    <row r="2147" ht="12.75">
      <c r="A2147" s="2"/>
    </row>
    <row r="2148" ht="12.75">
      <c r="A2148" s="2"/>
    </row>
    <row r="2149" ht="12.75">
      <c r="A2149" s="2"/>
    </row>
    <row r="2150" ht="12.75">
      <c r="A2150" s="2"/>
    </row>
    <row r="2151" ht="12.75">
      <c r="A2151" s="2"/>
    </row>
    <row r="2152" ht="12.75">
      <c r="A2152" s="2"/>
    </row>
    <row r="2153" ht="12.75">
      <c r="A2153" s="2"/>
    </row>
    <row r="2154" ht="12.75">
      <c r="A2154" s="2"/>
    </row>
    <row r="2155" ht="12.75">
      <c r="A2155" s="2"/>
    </row>
    <row r="2156" ht="12.75">
      <c r="A2156" s="2"/>
    </row>
    <row r="2157" ht="12.75">
      <c r="A2157" s="2"/>
    </row>
    <row r="2158" ht="12.75">
      <c r="A2158" s="2"/>
    </row>
    <row r="2159" ht="12.75">
      <c r="A2159" s="2"/>
    </row>
    <row r="2160" ht="12.75">
      <c r="A2160" s="2"/>
    </row>
    <row r="2161" ht="12.75">
      <c r="A2161" s="2"/>
    </row>
    <row r="2162" ht="12.75">
      <c r="A2162" s="2"/>
    </row>
    <row r="2163" ht="12.75">
      <c r="A2163" s="2"/>
    </row>
    <row r="2164" ht="12.75">
      <c r="A2164" s="2"/>
    </row>
    <row r="2165" ht="12.75">
      <c r="A2165" s="2"/>
    </row>
    <row r="2166" ht="12.75">
      <c r="A2166" s="2"/>
    </row>
    <row r="2167" ht="12.75">
      <c r="A2167" s="2"/>
    </row>
    <row r="2168" ht="12.75">
      <c r="A2168" s="2"/>
    </row>
    <row r="2169" ht="12.75">
      <c r="A2169" s="2"/>
    </row>
    <row r="2170" ht="12.75">
      <c r="A2170" s="2"/>
    </row>
    <row r="2171" ht="12.75">
      <c r="A2171" s="2"/>
    </row>
    <row r="2172" ht="12.75">
      <c r="A2172" s="2"/>
    </row>
    <row r="2173" ht="12.75">
      <c r="A2173" s="2"/>
    </row>
    <row r="2174" ht="12.75">
      <c r="A2174" s="2"/>
    </row>
    <row r="2175" ht="12.75">
      <c r="A2175" s="2"/>
    </row>
    <row r="2176" ht="12.75">
      <c r="A2176" s="2"/>
    </row>
    <row r="2177" ht="12.75">
      <c r="A2177" s="2"/>
    </row>
    <row r="2178" ht="12.75">
      <c r="A2178" s="2"/>
    </row>
    <row r="2179" ht="12.75">
      <c r="A2179" s="2"/>
    </row>
    <row r="2180" ht="12.75">
      <c r="A2180" s="2"/>
    </row>
    <row r="2181" ht="12.75">
      <c r="A2181" s="2"/>
    </row>
    <row r="2182" ht="12.75">
      <c r="A2182" s="2"/>
    </row>
    <row r="2183" ht="12.75">
      <c r="A2183" s="2"/>
    </row>
    <row r="2184" ht="12.75">
      <c r="A2184" s="2"/>
    </row>
    <row r="2185" ht="12.75">
      <c r="A2185" s="2"/>
    </row>
    <row r="2186" ht="12.75">
      <c r="A2186" s="2"/>
    </row>
    <row r="2187" ht="12.75">
      <c r="A2187" s="2"/>
    </row>
    <row r="2188" ht="12.75">
      <c r="A2188" s="2"/>
    </row>
    <row r="2189" ht="12.75">
      <c r="A2189" s="2"/>
    </row>
    <row r="2190" ht="12.75">
      <c r="A2190" s="2"/>
    </row>
    <row r="2191" ht="12.75">
      <c r="A2191" s="2"/>
    </row>
    <row r="2192" ht="12.75">
      <c r="A2192" s="2"/>
    </row>
    <row r="2193" ht="12.75">
      <c r="A2193" s="2"/>
    </row>
    <row r="2194" ht="12.75">
      <c r="A2194" s="2"/>
    </row>
    <row r="2195" ht="12.75">
      <c r="A2195" s="2"/>
    </row>
    <row r="2196" ht="12.75">
      <c r="A2196" s="2"/>
    </row>
    <row r="2197" ht="12.75">
      <c r="A2197" s="2"/>
    </row>
    <row r="2198" ht="12.75">
      <c r="A2198" s="2"/>
    </row>
    <row r="2199" ht="12.75">
      <c r="A2199" s="2"/>
    </row>
    <row r="2200" ht="12.75">
      <c r="A2200" s="2"/>
    </row>
    <row r="2201" ht="12.75">
      <c r="A2201" s="2"/>
    </row>
    <row r="2202" ht="12.75">
      <c r="A2202" s="2"/>
    </row>
    <row r="2203" ht="12.75">
      <c r="A2203" s="2"/>
    </row>
    <row r="2204" ht="12.75">
      <c r="A2204" s="2"/>
    </row>
    <row r="2205" ht="12.75">
      <c r="A2205" s="2"/>
    </row>
    <row r="2206" ht="12.75">
      <c r="A2206" s="2"/>
    </row>
    <row r="2207" ht="12.75">
      <c r="A2207" s="2"/>
    </row>
    <row r="2208" ht="12.75">
      <c r="A2208" s="2"/>
    </row>
    <row r="2209" ht="12.75">
      <c r="A2209" s="2"/>
    </row>
    <row r="2210" ht="12.75">
      <c r="A2210" s="2"/>
    </row>
    <row r="2211" ht="12.75">
      <c r="A2211" s="2"/>
    </row>
    <row r="2212" ht="12.75">
      <c r="A2212" s="2"/>
    </row>
    <row r="2213" ht="12.75">
      <c r="A2213" s="2"/>
    </row>
    <row r="2214" ht="12.75">
      <c r="A2214" s="2"/>
    </row>
    <row r="2215" ht="12.75">
      <c r="A2215" s="2"/>
    </row>
    <row r="2216" ht="12.75">
      <c r="A2216" s="2"/>
    </row>
    <row r="2217" ht="12.75">
      <c r="A2217" s="2"/>
    </row>
    <row r="2218" ht="12.75">
      <c r="A2218" s="2"/>
    </row>
    <row r="2219" ht="12.75">
      <c r="A2219" s="2"/>
    </row>
    <row r="2220" ht="12.75">
      <c r="A2220" s="2"/>
    </row>
    <row r="2221" ht="12.75">
      <c r="A2221" s="2"/>
    </row>
    <row r="2222" ht="12.75">
      <c r="A2222" s="2"/>
    </row>
    <row r="2223" ht="12.75">
      <c r="A2223" s="2"/>
    </row>
    <row r="2224" ht="12.75">
      <c r="A2224" s="2"/>
    </row>
    <row r="2225" ht="12.75">
      <c r="A2225" s="2"/>
    </row>
    <row r="2226" ht="12.75">
      <c r="A2226" s="2"/>
    </row>
    <row r="2227" ht="12.75">
      <c r="A2227" s="2"/>
    </row>
    <row r="2228" ht="12.75">
      <c r="A2228" s="2"/>
    </row>
    <row r="2229" ht="12.75">
      <c r="A2229" s="2"/>
    </row>
    <row r="2230" ht="12.75">
      <c r="A2230" s="2"/>
    </row>
    <row r="2231" ht="12.75">
      <c r="A2231" s="2"/>
    </row>
    <row r="2232" ht="12.75">
      <c r="A2232" s="2"/>
    </row>
    <row r="2233" ht="12.75">
      <c r="A2233" s="2"/>
    </row>
    <row r="2234" ht="12.75">
      <c r="A2234" s="2"/>
    </row>
    <row r="2235" ht="12.75">
      <c r="A2235" s="2"/>
    </row>
    <row r="2236" ht="12.75">
      <c r="A2236" s="2"/>
    </row>
    <row r="2237" ht="12.75">
      <c r="A2237" s="2"/>
    </row>
    <row r="2238" ht="12.75">
      <c r="A2238" s="2"/>
    </row>
    <row r="2239" ht="12.75">
      <c r="A2239" s="2"/>
    </row>
    <row r="2240" ht="12.75">
      <c r="A2240" s="2"/>
    </row>
    <row r="2241" ht="12.75">
      <c r="A2241" s="2"/>
    </row>
    <row r="2242" ht="12.75">
      <c r="A2242" s="2"/>
    </row>
    <row r="2243" ht="12.75">
      <c r="A2243" s="2"/>
    </row>
    <row r="2244" ht="12.75">
      <c r="A2244" s="2"/>
    </row>
    <row r="2245" ht="12.75">
      <c r="A2245" s="2"/>
    </row>
    <row r="2246" ht="12.75">
      <c r="A2246" s="2"/>
    </row>
    <row r="2247" ht="12.75">
      <c r="A2247" s="2"/>
    </row>
    <row r="2248" ht="12.75">
      <c r="A2248" s="2"/>
    </row>
    <row r="2249" ht="12.75">
      <c r="A2249" s="2"/>
    </row>
    <row r="2250" ht="12.75">
      <c r="A2250" s="2"/>
    </row>
    <row r="2251" ht="12.75">
      <c r="A2251" s="2"/>
    </row>
    <row r="2252" ht="12.75">
      <c r="A2252" s="2"/>
    </row>
  </sheetData>
  <sheetProtection/>
  <mergeCells count="2">
    <mergeCell ref="A1:I1"/>
    <mergeCell ref="A3:I3"/>
  </mergeCells>
  <printOptions horizontalCentered="1"/>
  <pageMargins left="0.5" right="0.5" top="0.5" bottom="0.5" header="0.5" footer="0.5"/>
  <pageSetup fitToHeight="1" fitToWidth="1" horizontalDpi="600" verticalDpi="600" orientation="portrait" scale="53" r:id="rId1"/>
  <headerFooter alignWithMargins="0">
    <oddHeader>&amp;R&amp;14Exhibit 1
Page &amp;P of &amp;N</oddHeader>
  </headerFooter>
</worksheet>
</file>

<file path=xl/worksheets/sheet6.xml><?xml version="1.0" encoding="utf-8"?>
<worksheet xmlns="http://schemas.openxmlformats.org/spreadsheetml/2006/main" xmlns:r="http://schemas.openxmlformats.org/officeDocument/2006/relationships">
  <sheetPr codeName="Sheet6">
    <tabColor rgb="FF92D050"/>
    <pageSetUpPr fitToPage="1"/>
  </sheetPr>
  <dimension ref="A1:IV133"/>
  <sheetViews>
    <sheetView showGridLines="0" zoomScale="65" zoomScaleNormal="65" zoomScaleSheetLayoutView="50" workbookViewId="0" topLeftCell="A1">
      <selection activeCell="A1" sqref="A1"/>
    </sheetView>
  </sheetViews>
  <sheetFormatPr defaultColWidth="9.140625" defaultRowHeight="12.75"/>
  <cols>
    <col min="1" max="1" width="6.421875" style="50" customWidth="1"/>
    <col min="2" max="2" width="4.28125" style="50" customWidth="1"/>
    <col min="3" max="3" width="58.00390625" style="50" customWidth="1"/>
    <col min="4" max="4" width="22.57421875" style="50" customWidth="1"/>
    <col min="5" max="5" width="19.140625" style="50" customWidth="1"/>
    <col min="6" max="6" width="30.7109375" style="50" customWidth="1"/>
    <col min="7" max="7" width="17.8515625" style="50" customWidth="1"/>
    <col min="8" max="8" width="18.140625" style="50" customWidth="1"/>
    <col min="9" max="9" width="18.57421875" style="50" customWidth="1"/>
    <col min="10" max="10" width="18.421875" style="50" customWidth="1"/>
    <col min="11" max="14" width="17.8515625" style="50" customWidth="1"/>
    <col min="15" max="16" width="9.7109375" style="50" customWidth="1"/>
    <col min="17" max="17" width="8.8515625" style="50" customWidth="1"/>
    <col min="18" max="256" width="9.140625" style="50" customWidth="1"/>
    <col min="257" max="16384" width="9.140625" style="50" customWidth="1"/>
  </cols>
  <sheetData>
    <row r="1" spans="1:7" ht="21" customHeight="1">
      <c r="A1" s="695"/>
      <c r="B1" s="78"/>
      <c r="D1" s="63"/>
      <c r="E1" s="638"/>
      <c r="F1" s="639"/>
      <c r="G1" s="696" t="str">
        <f>+'Appendix A'!A3</f>
        <v>PPL Electric Utilities Corporation</v>
      </c>
    </row>
    <row r="2" spans="1:17" ht="21" customHeight="1">
      <c r="A2" s="610"/>
      <c r="B2" s="191"/>
      <c r="C2" s="610"/>
      <c r="D2" s="80"/>
      <c r="E2" s="640"/>
      <c r="F2" s="639"/>
      <c r="Q2" s="75"/>
    </row>
    <row r="3" spans="1:17" ht="21" customHeight="1">
      <c r="A3" s="275"/>
      <c r="B3" s="78"/>
      <c r="D3" s="63"/>
      <c r="E3" s="638"/>
      <c r="F3" s="639"/>
      <c r="G3" s="634" t="s">
        <v>487</v>
      </c>
      <c r="Q3" s="75"/>
    </row>
    <row r="4" spans="1:17" ht="15">
      <c r="A4" s="78"/>
      <c r="B4" s="650"/>
      <c r="C4" s="79"/>
      <c r="D4" s="80"/>
      <c r="E4" s="652"/>
      <c r="F4" s="795"/>
      <c r="G4" s="677"/>
      <c r="H4" s="668"/>
      <c r="I4" s="677"/>
      <c r="J4" s="692"/>
      <c r="K4" s="692"/>
      <c r="L4" s="692"/>
      <c r="M4" s="692"/>
      <c r="N4" s="692"/>
      <c r="O4" s="692"/>
      <c r="P4" s="692"/>
      <c r="Q4" s="692"/>
    </row>
    <row r="5" ht="16.5" thickBot="1">
      <c r="A5" s="697" t="s">
        <v>401</v>
      </c>
    </row>
    <row r="6" spans="1:17" ht="47.25">
      <c r="A6" s="1119" t="s">
        <v>320</v>
      </c>
      <c r="B6" s="1120"/>
      <c r="C6" s="1120"/>
      <c r="D6" s="1120"/>
      <c r="E6" s="1120"/>
      <c r="F6" s="1121"/>
      <c r="G6" s="694" t="s">
        <v>321</v>
      </c>
      <c r="H6" s="694" t="s">
        <v>73</v>
      </c>
      <c r="I6" s="694" t="s">
        <v>228</v>
      </c>
      <c r="J6" s="1124" t="s">
        <v>30</v>
      </c>
      <c r="K6" s="1125"/>
      <c r="L6" s="1125"/>
      <c r="M6" s="1125"/>
      <c r="N6" s="1125"/>
      <c r="O6" s="1125"/>
      <c r="P6" s="1125"/>
      <c r="Q6" s="1126"/>
    </row>
    <row r="7" spans="1:17" ht="15">
      <c r="A7" s="651"/>
      <c r="B7" s="650"/>
      <c r="C7" s="79"/>
      <c r="D7" s="80"/>
      <c r="E7" s="652"/>
      <c r="F7" s="653"/>
      <c r="G7" s="701"/>
      <c r="H7" s="668"/>
      <c r="I7" s="677"/>
      <c r="J7" s="692"/>
      <c r="K7" s="692"/>
      <c r="L7" s="692"/>
      <c r="M7" s="692"/>
      <c r="N7" s="692"/>
      <c r="O7" s="692"/>
      <c r="P7" s="692"/>
      <c r="Q7" s="693"/>
    </row>
    <row r="8" spans="1:17" ht="15.75">
      <c r="A8" s="644">
        <f>+'Appendix A'!A195</f>
        <v>113</v>
      </c>
      <c r="B8" s="308" t="s">
        <v>480</v>
      </c>
      <c r="C8" s="79"/>
      <c r="D8" s="80"/>
      <c r="E8" s="652"/>
      <c r="F8" s="672" t="s">
        <v>450</v>
      </c>
      <c r="G8" s="933">
        <v>-408896</v>
      </c>
      <c r="H8" s="934">
        <v>-20102</v>
      </c>
      <c r="I8" s="677">
        <f>G8-H8</f>
        <v>-388794</v>
      </c>
      <c r="J8" s="1139" t="s">
        <v>447</v>
      </c>
      <c r="K8" s="1139"/>
      <c r="L8" s="1139"/>
      <c r="M8" s="1139"/>
      <c r="N8" s="1139"/>
      <c r="O8" s="1139"/>
      <c r="P8" s="1139"/>
      <c r="Q8" s="1140"/>
    </row>
    <row r="9" spans="1:17" ht="15.75" thickBot="1">
      <c r="A9" s="654"/>
      <c r="B9" s="655"/>
      <c r="C9" s="656"/>
      <c r="D9" s="657"/>
      <c r="E9" s="658"/>
      <c r="F9" s="659"/>
      <c r="G9" s="703"/>
      <c r="H9" s="704"/>
      <c r="I9" s="705"/>
      <c r="J9" s="1130"/>
      <c r="K9" s="1130"/>
      <c r="L9" s="1130"/>
      <c r="M9" s="1130"/>
      <c r="N9" s="1130"/>
      <c r="O9" s="1130"/>
      <c r="P9" s="1130"/>
      <c r="Q9" s="1131"/>
    </row>
    <row r="10" ht="15"/>
    <row r="11" ht="15"/>
    <row r="12" ht="16.5" thickBot="1">
      <c r="A12" s="697" t="s">
        <v>247</v>
      </c>
    </row>
    <row r="13" spans="1:23" ht="50.25" customHeight="1">
      <c r="A13" s="1119" t="s">
        <v>320</v>
      </c>
      <c r="B13" s="1120"/>
      <c r="C13" s="1120"/>
      <c r="D13" s="1120"/>
      <c r="E13" s="1120"/>
      <c r="F13" s="1121"/>
      <c r="G13" s="694" t="s">
        <v>321</v>
      </c>
      <c r="H13" s="694" t="s">
        <v>202</v>
      </c>
      <c r="I13" s="694" t="s">
        <v>203</v>
      </c>
      <c r="J13" s="694" t="s">
        <v>228</v>
      </c>
      <c r="K13" s="1124" t="s">
        <v>30</v>
      </c>
      <c r="L13" s="1124"/>
      <c r="M13" s="1124"/>
      <c r="N13" s="1124"/>
      <c r="O13" s="1124"/>
      <c r="P13" s="1124"/>
      <c r="Q13" s="1141"/>
      <c r="S13" s="889"/>
      <c r="T13" s="877"/>
      <c r="U13" s="877"/>
      <c r="V13" s="877"/>
      <c r="W13" s="877"/>
    </row>
    <row r="14" spans="1:17" ht="33.75" customHeight="1">
      <c r="A14" s="644">
        <f>+'Appendix A'!A46</f>
        <v>24</v>
      </c>
      <c r="B14" s="254" t="str">
        <f>+'Appendix A'!C46</f>
        <v>Land Held for Future Use</v>
      </c>
      <c r="D14" s="660"/>
      <c r="E14" s="197" t="str">
        <f>"(Note "&amp;'Appendix A'!B260&amp;")"</f>
        <v>(Note C)</v>
      </c>
      <c r="F14" s="866" t="s">
        <v>201</v>
      </c>
      <c r="G14" s="934">
        <v>45641205</v>
      </c>
      <c r="H14" s="934">
        <f>G14-I14-J14</f>
        <v>38553071</v>
      </c>
      <c r="I14" s="934">
        <v>4183565</v>
      </c>
      <c r="J14" s="934">
        <v>2904569</v>
      </c>
      <c r="L14" s="867"/>
      <c r="M14" s="867"/>
      <c r="N14" s="867"/>
      <c r="O14" s="867"/>
      <c r="P14" s="867"/>
      <c r="Q14" s="868"/>
    </row>
    <row r="15" spans="1:17" ht="15.75">
      <c r="A15" s="644"/>
      <c r="B15" s="650"/>
      <c r="C15" s="600"/>
      <c r="D15" s="80"/>
      <c r="E15" s="645"/>
      <c r="F15" s="866" t="s">
        <v>450</v>
      </c>
      <c r="G15" s="935"/>
      <c r="H15" s="934">
        <v>0</v>
      </c>
      <c r="I15" s="934">
        <v>0</v>
      </c>
      <c r="J15" s="935"/>
      <c r="K15" s="82" t="s">
        <v>101</v>
      </c>
      <c r="L15" s="82"/>
      <c r="M15" s="82"/>
      <c r="N15" s="82"/>
      <c r="O15" s="82"/>
      <c r="P15" s="82"/>
      <c r="Q15" s="643"/>
    </row>
    <row r="16" spans="1:17" ht="15.75">
      <c r="A16" s="644"/>
      <c r="B16" s="650"/>
      <c r="C16" s="600"/>
      <c r="D16" s="80"/>
      <c r="E16" s="197" t="str">
        <f>"(Note "&amp;'Appendix A'!B288&amp;")"</f>
        <v>(Note P)</v>
      </c>
      <c r="F16" s="866" t="s">
        <v>450</v>
      </c>
      <c r="G16" s="82"/>
      <c r="H16" s="936">
        <v>0</v>
      </c>
      <c r="I16" s="965">
        <v>0</v>
      </c>
      <c r="J16" s="964"/>
      <c r="K16" s="80" t="s">
        <v>284</v>
      </c>
      <c r="L16" s="962"/>
      <c r="M16" s="962"/>
      <c r="N16" s="962"/>
      <c r="O16" s="962"/>
      <c r="P16" s="962"/>
      <c r="Q16" s="963"/>
    </row>
    <row r="17" spans="1:17" ht="15.75" hidden="1">
      <c r="A17" s="644"/>
      <c r="B17" s="650"/>
      <c r="C17" s="600"/>
      <c r="D17" s="80"/>
      <c r="E17" s="645"/>
      <c r="F17" s="661"/>
      <c r="G17" s="82"/>
      <c r="H17" s="706"/>
      <c r="I17" s="82"/>
      <c r="J17" s="635"/>
      <c r="K17" s="636"/>
      <c r="L17" s="636"/>
      <c r="M17" s="636"/>
      <c r="N17" s="636"/>
      <c r="O17" s="636"/>
      <c r="P17" s="636"/>
      <c r="Q17" s="637"/>
    </row>
    <row r="18" spans="1:17" ht="38.25" customHeight="1" hidden="1">
      <c r="A18" s="644"/>
      <c r="B18" s="650"/>
      <c r="C18" s="600"/>
      <c r="D18" s="80"/>
      <c r="E18" s="645"/>
      <c r="F18" s="661"/>
      <c r="G18" s="82"/>
      <c r="H18" s="706"/>
      <c r="I18" s="82"/>
      <c r="J18" s="82"/>
      <c r="K18" s="82"/>
      <c r="L18" s="82"/>
      <c r="M18" s="82"/>
      <c r="N18" s="82"/>
      <c r="O18" s="82"/>
      <c r="P18" s="82"/>
      <c r="Q18" s="643"/>
    </row>
    <row r="19" spans="1:17" ht="15">
      <c r="A19" s="644"/>
      <c r="B19" s="650"/>
      <c r="C19" s="600"/>
      <c r="D19" s="80"/>
      <c r="E19" s="645"/>
      <c r="F19" s="661"/>
      <c r="G19" s="82"/>
      <c r="H19" s="668">
        <f>H14-H15-H16</f>
        <v>38553071</v>
      </c>
      <c r="I19" s="668">
        <f>I14-I15-I16</f>
        <v>4183565</v>
      </c>
      <c r="K19" s="82" t="s">
        <v>102</v>
      </c>
      <c r="L19" s="636"/>
      <c r="M19" s="636"/>
      <c r="N19" s="636"/>
      <c r="O19" s="636"/>
      <c r="P19" s="636"/>
      <c r="Q19" s="637"/>
    </row>
    <row r="20" spans="1:17" ht="15.75" hidden="1">
      <c r="A20" s="644"/>
      <c r="B20" s="650"/>
      <c r="C20" s="600"/>
      <c r="D20" s="80"/>
      <c r="E20" s="645"/>
      <c r="F20" s="661"/>
      <c r="G20" s="82"/>
      <c r="H20" s="706"/>
      <c r="I20" s="82"/>
      <c r="J20" s="635"/>
      <c r="K20" s="636"/>
      <c r="L20" s="636"/>
      <c r="M20" s="636"/>
      <c r="N20" s="636"/>
      <c r="O20" s="636"/>
      <c r="P20" s="636"/>
      <c r="Q20" s="637"/>
    </row>
    <row r="21" spans="1:17" ht="15.75" hidden="1">
      <c r="A21" s="644"/>
      <c r="B21" s="650"/>
      <c r="C21" s="600"/>
      <c r="D21" s="80"/>
      <c r="E21" s="645"/>
      <c r="F21" s="661"/>
      <c r="G21" s="82"/>
      <c r="H21" s="706"/>
      <c r="I21" s="82"/>
      <c r="J21" s="635"/>
      <c r="K21" s="636"/>
      <c r="L21" s="636"/>
      <c r="M21" s="636"/>
      <c r="N21" s="636"/>
      <c r="O21" s="636"/>
      <c r="P21" s="636"/>
      <c r="Q21" s="637"/>
    </row>
    <row r="22" spans="1:17" ht="15.75" thickBot="1">
      <c r="A22" s="707"/>
      <c r="B22" s="670"/>
      <c r="C22" s="670"/>
      <c r="D22" s="674"/>
      <c r="E22" s="670"/>
      <c r="F22" s="708"/>
      <c r="G22" s="670"/>
      <c r="H22" s="674"/>
      <c r="I22" s="670"/>
      <c r="J22" s="670"/>
      <c r="K22" s="670"/>
      <c r="L22" s="670"/>
      <c r="M22" s="670"/>
      <c r="N22" s="670"/>
      <c r="O22" s="670"/>
      <c r="P22" s="670"/>
      <c r="Q22" s="708"/>
    </row>
    <row r="23" spans="1:17" ht="15">
      <c r="A23" s="82"/>
      <c r="B23" s="82"/>
      <c r="C23" s="82"/>
      <c r="D23" s="105"/>
      <c r="E23" s="82"/>
      <c r="F23" s="82"/>
      <c r="G23" s="82"/>
      <c r="H23" s="105"/>
      <c r="I23" s="82"/>
      <c r="J23" s="82"/>
      <c r="K23" s="82"/>
      <c r="L23" s="82"/>
      <c r="M23" s="82"/>
      <c r="N23" s="82"/>
      <c r="O23" s="82"/>
      <c r="P23" s="82"/>
      <c r="Q23" s="82"/>
    </row>
    <row r="24" ht="15"/>
    <row r="25" ht="15"/>
    <row r="26" spans="1:8" ht="16.5" thickBot="1">
      <c r="A26" s="697" t="s">
        <v>297</v>
      </c>
      <c r="B26" s="55"/>
      <c r="C26" s="55"/>
      <c r="D26" s="55"/>
      <c r="E26" s="55"/>
      <c r="F26" s="55"/>
      <c r="G26" s="55"/>
      <c r="H26" s="55"/>
    </row>
    <row r="27" spans="1:17" ht="39.75" customHeight="1">
      <c r="A27" s="1119" t="s">
        <v>320</v>
      </c>
      <c r="B27" s="1120"/>
      <c r="C27" s="1120"/>
      <c r="D27" s="1120"/>
      <c r="E27" s="1120"/>
      <c r="F27" s="1121"/>
      <c r="G27" s="698" t="s">
        <v>476</v>
      </c>
      <c r="H27" s="694" t="s">
        <v>552</v>
      </c>
      <c r="I27" s="694" t="s">
        <v>553</v>
      </c>
      <c r="J27" s="1124" t="s">
        <v>30</v>
      </c>
      <c r="K27" s="1125"/>
      <c r="L27" s="1125"/>
      <c r="M27" s="1125"/>
      <c r="N27" s="1125"/>
      <c r="O27" s="1125"/>
      <c r="P27" s="1125"/>
      <c r="Q27" s="1126"/>
    </row>
    <row r="28" spans="1:17" ht="15.75">
      <c r="A28" s="644"/>
      <c r="B28" s="49" t="s">
        <v>39</v>
      </c>
      <c r="C28" s="80"/>
      <c r="D28" s="80"/>
      <c r="E28" s="668"/>
      <c r="F28" s="80"/>
      <c r="G28" s="699"/>
      <c r="H28" s="168"/>
      <c r="I28" s="82"/>
      <c r="J28" s="1127"/>
      <c r="K28" s="1128"/>
      <c r="L28" s="1128"/>
      <c r="M28" s="1128"/>
      <c r="N28" s="1128"/>
      <c r="O28" s="1128"/>
      <c r="P28" s="1128"/>
      <c r="Q28" s="1129"/>
    </row>
    <row r="29" spans="1:17" ht="15.75">
      <c r="A29" s="644"/>
      <c r="B29" s="642"/>
      <c r="C29" s="600"/>
      <c r="D29" s="80"/>
      <c r="E29" s="668"/>
      <c r="F29" s="80"/>
      <c r="G29" s="671"/>
      <c r="H29" s="240"/>
      <c r="I29" s="240"/>
      <c r="J29" s="246"/>
      <c r="K29" s="114"/>
      <c r="L29" s="114"/>
      <c r="M29" s="114"/>
      <c r="N29" s="114"/>
      <c r="O29" s="114"/>
      <c r="P29" s="114"/>
      <c r="Q29" s="700"/>
    </row>
    <row r="30" spans="1:17" ht="15.75">
      <c r="A30" s="646">
        <f>+'Appendix A'!A102</f>
        <v>53</v>
      </c>
      <c r="B30" s="642"/>
      <c r="C30" s="600" t="s">
        <v>572</v>
      </c>
      <c r="D30" s="80"/>
      <c r="E30" s="668"/>
      <c r="F30" s="191" t="s">
        <v>517</v>
      </c>
      <c r="G30" s="937">
        <v>1518585</v>
      </c>
      <c r="H30" s="935"/>
      <c r="I30" s="938"/>
      <c r="J30" s="99"/>
      <c r="K30" s="114"/>
      <c r="L30" s="114"/>
      <c r="M30" s="114"/>
      <c r="N30" s="114"/>
      <c r="O30" s="114"/>
      <c r="P30" s="114"/>
      <c r="Q30" s="700"/>
    </row>
    <row r="31" spans="1:27" ht="15">
      <c r="A31" s="646">
        <f>+'Appendix A'!A103</f>
        <v>54</v>
      </c>
      <c r="B31" s="82"/>
      <c r="C31" s="673" t="s">
        <v>573</v>
      </c>
      <c r="D31" s="82"/>
      <c r="E31" s="82"/>
      <c r="F31" s="191" t="s">
        <v>450</v>
      </c>
      <c r="G31" s="937">
        <v>75680</v>
      </c>
      <c r="H31" s="935"/>
      <c r="I31" s="935"/>
      <c r="J31" s="82" t="s">
        <v>225</v>
      </c>
      <c r="K31" s="114"/>
      <c r="L31" s="114"/>
      <c r="M31" s="114"/>
      <c r="N31" s="114"/>
      <c r="O31" s="114"/>
      <c r="P31" s="114"/>
      <c r="Q31" s="700"/>
      <c r="S31" s="877"/>
      <c r="T31" s="877"/>
      <c r="U31" s="877"/>
      <c r="V31" s="877"/>
      <c r="W31" s="877"/>
      <c r="X31" s="877"/>
      <c r="Y31" s="877"/>
      <c r="Z31" s="877"/>
      <c r="AA31" s="877"/>
    </row>
    <row r="32" spans="1:27" ht="15" customHeight="1">
      <c r="A32" s="646">
        <f>'Appendix A'!A117</f>
        <v>65</v>
      </c>
      <c r="B32" s="82"/>
      <c r="C32" s="600" t="str">
        <f>'Appendix A'!C117</f>
        <v>Property Insurance Account 924</v>
      </c>
      <c r="D32" s="82"/>
      <c r="E32" s="82"/>
      <c r="F32" s="191" t="str">
        <f>'Appendix A'!F104</f>
        <v>p323.185.b</v>
      </c>
      <c r="G32" s="937">
        <v>791522</v>
      </c>
      <c r="H32" s="938">
        <v>0</v>
      </c>
      <c r="I32" s="939">
        <f>H32+G32</f>
        <v>791522</v>
      </c>
      <c r="J32" s="1122" t="s">
        <v>322</v>
      </c>
      <c r="K32" s="1122"/>
      <c r="L32" s="1122"/>
      <c r="M32" s="1122"/>
      <c r="N32" s="1122"/>
      <c r="O32" s="1122"/>
      <c r="P32" s="1122"/>
      <c r="Q32" s="1123"/>
      <c r="S32" s="889"/>
      <c r="T32" s="889"/>
      <c r="U32" s="889"/>
      <c r="V32" s="889"/>
      <c r="W32" s="889"/>
      <c r="X32" s="889"/>
      <c r="Y32" s="889"/>
      <c r="Z32" s="889"/>
      <c r="AA32" s="877"/>
    </row>
    <row r="33" spans="1:17" ht="15.75" thickBot="1">
      <c r="A33" s="654"/>
      <c r="B33" s="669"/>
      <c r="C33" s="656"/>
      <c r="D33" s="674"/>
      <c r="E33" s="658"/>
      <c r="F33" s="656"/>
      <c r="G33" s="711"/>
      <c r="H33" s="712"/>
      <c r="I33" s="713"/>
      <c r="J33" s="713" t="s">
        <v>554</v>
      </c>
      <c r="K33" s="712"/>
      <c r="L33" s="712"/>
      <c r="M33" s="712"/>
      <c r="N33" s="712"/>
      <c r="O33" s="712"/>
      <c r="P33" s="712"/>
      <c r="Q33" s="714"/>
    </row>
    <row r="34" ht="15"/>
    <row r="35" ht="15">
      <c r="H35" s="240"/>
    </row>
    <row r="36" ht="16.5" thickBot="1">
      <c r="A36" s="697" t="s">
        <v>248</v>
      </c>
    </row>
    <row r="37" spans="1:17" ht="50.25" customHeight="1">
      <c r="A37" s="1119" t="s">
        <v>320</v>
      </c>
      <c r="B37" s="1120"/>
      <c r="C37" s="1120"/>
      <c r="D37" s="1120"/>
      <c r="E37" s="1120"/>
      <c r="F37" s="1121"/>
      <c r="G37" s="694" t="s">
        <v>321</v>
      </c>
      <c r="H37" s="694" t="s">
        <v>73</v>
      </c>
      <c r="I37" s="694" t="s">
        <v>228</v>
      </c>
      <c r="J37" s="1124" t="s">
        <v>30</v>
      </c>
      <c r="K37" s="1125"/>
      <c r="L37" s="1125"/>
      <c r="M37" s="1125"/>
      <c r="N37" s="1125"/>
      <c r="O37" s="1125"/>
      <c r="P37" s="1125"/>
      <c r="Q37" s="1126"/>
    </row>
    <row r="38" spans="1:17" ht="15.75">
      <c r="A38" s="644"/>
      <c r="B38" s="642" t="s">
        <v>376</v>
      </c>
      <c r="C38" s="99"/>
      <c r="D38" s="80"/>
      <c r="E38" s="665"/>
      <c r="F38" s="663"/>
      <c r="G38" s="187"/>
      <c r="H38" s="677"/>
      <c r="I38" s="187"/>
      <c r="J38" s="82"/>
      <c r="K38" s="82"/>
      <c r="L38" s="82"/>
      <c r="M38" s="82"/>
      <c r="N38" s="82"/>
      <c r="O38" s="82"/>
      <c r="P38" s="82"/>
      <c r="Q38" s="643"/>
    </row>
    <row r="39" spans="1:17" ht="33.75" customHeight="1" thickBot="1">
      <c r="A39" s="654">
        <f>+'Appendix A'!A113</f>
        <v>62</v>
      </c>
      <c r="B39" s="655"/>
      <c r="C39" s="656" t="str">
        <f>+'Appendix A'!C113</f>
        <v>Regulatory Commission Exp Account 928</v>
      </c>
      <c r="D39" s="676"/>
      <c r="E39" s="658" t="str">
        <f>'Appendix A'!E113</f>
        <v>(Note G)</v>
      </c>
      <c r="F39" s="667" t="s">
        <v>624</v>
      </c>
      <c r="G39" s="940">
        <v>6186575</v>
      </c>
      <c r="H39" s="940">
        <v>0</v>
      </c>
      <c r="I39" s="940">
        <f>G39-H39</f>
        <v>6186575</v>
      </c>
      <c r="J39" s="1130"/>
      <c r="K39" s="1130"/>
      <c r="L39" s="1130"/>
      <c r="M39" s="1130"/>
      <c r="N39" s="1130"/>
      <c r="O39" s="1130"/>
      <c r="P39" s="1130"/>
      <c r="Q39" s="1131"/>
    </row>
    <row r="40" ht="15"/>
    <row r="41" ht="15"/>
    <row r="42" ht="16.5" thickBot="1">
      <c r="A42" s="697" t="s">
        <v>249</v>
      </c>
    </row>
    <row r="43" spans="1:17" ht="31.5" customHeight="1">
      <c r="A43" s="1119" t="s">
        <v>320</v>
      </c>
      <c r="B43" s="1120"/>
      <c r="C43" s="1120"/>
      <c r="D43" s="1120"/>
      <c r="E43" s="1120"/>
      <c r="F43" s="1121"/>
      <c r="G43" s="694" t="s">
        <v>321</v>
      </c>
      <c r="H43" s="694" t="s">
        <v>74</v>
      </c>
      <c r="I43" s="694" t="s">
        <v>229</v>
      </c>
      <c r="J43" s="1124" t="s">
        <v>30</v>
      </c>
      <c r="K43" s="1125"/>
      <c r="L43" s="1125"/>
      <c r="M43" s="1125"/>
      <c r="N43" s="1125"/>
      <c r="O43" s="1125"/>
      <c r="P43" s="1125"/>
      <c r="Q43" s="1126"/>
    </row>
    <row r="44" spans="1:17" ht="15.75">
      <c r="A44" s="644"/>
      <c r="B44" s="642" t="s">
        <v>376</v>
      </c>
      <c r="C44" s="105"/>
      <c r="D44" s="80"/>
      <c r="E44" s="677"/>
      <c r="F44" s="649"/>
      <c r="G44" s="82"/>
      <c r="H44" s="82"/>
      <c r="I44" s="82"/>
      <c r="J44" s="82"/>
      <c r="K44" s="82"/>
      <c r="L44" s="82"/>
      <c r="M44" s="82"/>
      <c r="N44" s="82"/>
      <c r="O44" s="82"/>
      <c r="P44" s="82"/>
      <c r="Q44" s="643"/>
    </row>
    <row r="45" spans="1:17" ht="15.75" thickBot="1">
      <c r="A45" s="678">
        <f>+'Appendix A'!A118</f>
        <v>66</v>
      </c>
      <c r="B45" s="655"/>
      <c r="C45" s="679" t="str">
        <f>+'Appendix A'!C118</f>
        <v>General Advertising Exp Account 930.1</v>
      </c>
      <c r="D45" s="657"/>
      <c r="E45" s="680" t="str">
        <f>+'Appendix A'!E118</f>
        <v>(Note F)</v>
      </c>
      <c r="F45" s="667" t="s">
        <v>613</v>
      </c>
      <c r="G45" s="941">
        <v>0</v>
      </c>
      <c r="H45" s="941">
        <v>0</v>
      </c>
      <c r="I45" s="941">
        <v>0</v>
      </c>
      <c r="J45" s="1132"/>
      <c r="K45" s="1132"/>
      <c r="L45" s="1132"/>
      <c r="M45" s="1132"/>
      <c r="N45" s="1132"/>
      <c r="O45" s="1132"/>
      <c r="P45" s="1132"/>
      <c r="Q45" s="1133"/>
    </row>
    <row r="46" spans="1:17" ht="15.75">
      <c r="A46" s="78"/>
      <c r="B46" s="650"/>
      <c r="C46" s="600"/>
      <c r="D46" s="80"/>
      <c r="E46" s="197"/>
      <c r="F46" s="600"/>
      <c r="G46" s="187"/>
      <c r="H46" s="187"/>
      <c r="I46" s="187"/>
      <c r="J46" s="246"/>
      <c r="K46" s="114"/>
      <c r="L46" s="114"/>
      <c r="M46" s="114"/>
      <c r="N46" s="114"/>
      <c r="O46" s="114"/>
      <c r="P46" s="114"/>
      <c r="Q46" s="114"/>
    </row>
    <row r="47" ht="15"/>
    <row r="48" ht="16.5" thickBot="1">
      <c r="A48" s="697" t="s">
        <v>72</v>
      </c>
    </row>
    <row r="49" spans="1:17" ht="15.75">
      <c r="A49" s="1119" t="s">
        <v>320</v>
      </c>
      <c r="B49" s="1120"/>
      <c r="C49" s="1120"/>
      <c r="D49" s="1120"/>
      <c r="E49" s="1120"/>
      <c r="F49" s="1121"/>
      <c r="G49" s="694" t="s">
        <v>75</v>
      </c>
      <c r="H49" s="694" t="s">
        <v>76</v>
      </c>
      <c r="I49" s="694" t="s">
        <v>77</v>
      </c>
      <c r="J49" s="694" t="s">
        <v>78</v>
      </c>
      <c r="K49" s="694" t="s">
        <v>79</v>
      </c>
      <c r="L49" s="1124" t="s">
        <v>30</v>
      </c>
      <c r="M49" s="1125"/>
      <c r="N49" s="1125"/>
      <c r="O49" s="1125"/>
      <c r="P49" s="1125"/>
      <c r="Q49" s="1126"/>
    </row>
    <row r="50" spans="1:17" ht="15.75">
      <c r="A50" s="651" t="s">
        <v>363</v>
      </c>
      <c r="B50" s="681" t="s">
        <v>454</v>
      </c>
      <c r="C50" s="63"/>
      <c r="D50" s="63"/>
      <c r="E50" s="677"/>
      <c r="F50" s="682"/>
      <c r="G50" s="82"/>
      <c r="H50" s="82"/>
      <c r="I50" s="82"/>
      <c r="J50" s="82"/>
      <c r="K50" s="82"/>
      <c r="L50" s="82"/>
      <c r="M50" s="82"/>
      <c r="N50" s="82"/>
      <c r="O50" s="82"/>
      <c r="P50" s="82"/>
      <c r="Q50" s="643"/>
    </row>
    <row r="51" spans="1:17" ht="15.75">
      <c r="A51" s="651"/>
      <c r="B51" s="681"/>
      <c r="C51" s="63"/>
      <c r="D51" s="63"/>
      <c r="E51" s="677"/>
      <c r="F51" s="682"/>
      <c r="G51" s="187" t="s">
        <v>299</v>
      </c>
      <c r="H51" s="187"/>
      <c r="I51" s="187"/>
      <c r="J51" s="187"/>
      <c r="K51" s="187"/>
      <c r="L51" s="1127"/>
      <c r="M51" s="1142"/>
      <c r="N51" s="1142"/>
      <c r="O51" s="1142"/>
      <c r="P51" s="1142"/>
      <c r="Q51" s="1143"/>
    </row>
    <row r="52" spans="1:17" ht="15.75" thickBot="1">
      <c r="A52" s="678">
        <f>+'Appendix A'!A189</f>
        <v>109</v>
      </c>
      <c r="B52" s="666"/>
      <c r="C52" s="679" t="str">
        <f>+'Appendix A'!C189</f>
        <v>SIT=State Income Tax Rate or Composite</v>
      </c>
      <c r="D52" s="683"/>
      <c r="E52" s="680" t="str">
        <f>'Appendix A'!E188</f>
        <v>(Note I)</v>
      </c>
      <c r="F52" s="684"/>
      <c r="G52" s="942">
        <v>0.0999</v>
      </c>
      <c r="H52" s="715"/>
      <c r="I52" s="710"/>
      <c r="J52" s="710"/>
      <c r="K52" s="710"/>
      <c r="L52" s="1135"/>
      <c r="M52" s="1144"/>
      <c r="N52" s="1144"/>
      <c r="O52" s="1144"/>
      <c r="P52" s="1144"/>
      <c r="Q52" s="1145"/>
    </row>
    <row r="53" ht="15"/>
    <row r="54" ht="15"/>
    <row r="55" ht="16.5" thickBot="1">
      <c r="A55" s="697" t="s">
        <v>250</v>
      </c>
    </row>
    <row r="56" spans="1:17" ht="33.75" customHeight="1">
      <c r="A56" s="1119" t="s">
        <v>320</v>
      </c>
      <c r="B56" s="1120"/>
      <c r="C56" s="1120"/>
      <c r="D56" s="1120"/>
      <c r="E56" s="1120"/>
      <c r="F56" s="1121"/>
      <c r="G56" s="694" t="s">
        <v>321</v>
      </c>
      <c r="H56" s="694" t="s">
        <v>80</v>
      </c>
      <c r="I56" s="694" t="s">
        <v>81</v>
      </c>
      <c r="J56" s="1124" t="s">
        <v>30</v>
      </c>
      <c r="K56" s="1125"/>
      <c r="L56" s="1125"/>
      <c r="M56" s="1125"/>
      <c r="N56" s="1125"/>
      <c r="O56" s="1125"/>
      <c r="P56" s="1125"/>
      <c r="Q56" s="1126"/>
    </row>
    <row r="57" spans="1:17" ht="15.75">
      <c r="A57" s="644"/>
      <c r="B57" s="642" t="s">
        <v>376</v>
      </c>
      <c r="C57" s="105"/>
      <c r="D57" s="80"/>
      <c r="E57" s="677"/>
      <c r="F57" s="649"/>
      <c r="G57" s="82"/>
      <c r="H57" s="82"/>
      <c r="I57" s="82"/>
      <c r="J57" s="82"/>
      <c r="K57" s="82"/>
      <c r="L57" s="82"/>
      <c r="M57" s="82"/>
      <c r="N57" s="82"/>
      <c r="O57" s="82"/>
      <c r="P57" s="82"/>
      <c r="Q57" s="643"/>
    </row>
    <row r="58" spans="1:17" ht="15.75" thickBot="1">
      <c r="A58" s="678">
        <f>+'Appendix A'!A114</f>
        <v>63</v>
      </c>
      <c r="B58" s="655"/>
      <c r="C58" s="679" t="str">
        <f>+'Appendix A'!C114</f>
        <v>General Advertising Exp Account 930.1</v>
      </c>
      <c r="D58" s="685"/>
      <c r="E58" s="680" t="str">
        <f>+'Appendix A'!E114</f>
        <v>(Note K)</v>
      </c>
      <c r="F58" s="667" t="s">
        <v>613</v>
      </c>
      <c r="G58" s="943">
        <f>+G45</f>
        <v>0</v>
      </c>
      <c r="H58" s="944"/>
      <c r="I58" s="943">
        <f>G58-H58</f>
        <v>0</v>
      </c>
      <c r="J58" s="1134">
        <f>+J45</f>
        <v>0</v>
      </c>
      <c r="K58" s="1135"/>
      <c r="L58" s="1135"/>
      <c r="M58" s="1135"/>
      <c r="N58" s="1135"/>
      <c r="O58" s="1135"/>
      <c r="P58" s="1135"/>
      <c r="Q58" s="1136"/>
    </row>
    <row r="59" ht="15.75" customHeight="1"/>
    <row r="60" ht="15.75" customHeight="1"/>
    <row r="61" ht="16.5" thickBot="1">
      <c r="A61" s="697" t="s">
        <v>252</v>
      </c>
    </row>
    <row r="62" spans="1:17" ht="47.25" customHeight="1">
      <c r="A62" s="1119" t="s">
        <v>320</v>
      </c>
      <c r="B62" s="1120"/>
      <c r="C62" s="1120"/>
      <c r="D62" s="1120"/>
      <c r="E62" s="1120"/>
      <c r="F62" s="1121"/>
      <c r="G62" s="698" t="str">
        <f>+C64</f>
        <v>Excluded Transmission Facilities</v>
      </c>
      <c r="H62" s="1124" t="s">
        <v>83</v>
      </c>
      <c r="I62" s="1137"/>
      <c r="J62" s="1137"/>
      <c r="K62" s="1137"/>
      <c r="L62" s="1137"/>
      <c r="M62" s="1137"/>
      <c r="N62" s="1137"/>
      <c r="O62" s="1137"/>
      <c r="P62" s="1137"/>
      <c r="Q62" s="1138"/>
    </row>
    <row r="63" spans="1:17" ht="25.5" customHeight="1">
      <c r="A63" s="716"/>
      <c r="B63" s="642" t="s">
        <v>378</v>
      </c>
      <c r="C63" s="642"/>
      <c r="D63" s="244"/>
      <c r="E63" s="717"/>
      <c r="F63" s="718"/>
      <c r="G63" s="699"/>
      <c r="H63" s="82"/>
      <c r="I63" s="82"/>
      <c r="J63" s="82"/>
      <c r="K63" s="82"/>
      <c r="L63" s="82"/>
      <c r="M63" s="82"/>
      <c r="N63" s="82"/>
      <c r="O63" s="82"/>
      <c r="P63" s="82"/>
      <c r="Q63" s="643"/>
    </row>
    <row r="64" spans="1:17" ht="15.75">
      <c r="A64" s="644">
        <f>+'Appendix A'!A219</f>
        <v>127</v>
      </c>
      <c r="B64" s="191"/>
      <c r="C64" s="600" t="str">
        <f>+'Appendix A'!C219</f>
        <v>Excluded Transmission Facilities</v>
      </c>
      <c r="D64" s="244"/>
      <c r="E64" s="645" t="str">
        <f>+'Appendix A'!E219</f>
        <v>(Note M)</v>
      </c>
      <c r="F64" s="600"/>
      <c r="G64" s="719"/>
      <c r="H64" s="1127" t="s">
        <v>89</v>
      </c>
      <c r="I64" s="1128"/>
      <c r="J64" s="1128"/>
      <c r="K64" s="1128"/>
      <c r="L64" s="1128"/>
      <c r="M64" s="1128"/>
      <c r="N64" s="1128"/>
      <c r="O64" s="1128"/>
      <c r="P64" s="1128"/>
      <c r="Q64" s="1129"/>
    </row>
    <row r="65" spans="1:17" ht="15.75">
      <c r="A65" s="644"/>
      <c r="B65" s="191"/>
      <c r="C65" s="673"/>
      <c r="D65" s="244"/>
      <c r="E65" s="647"/>
      <c r="F65" s="664"/>
      <c r="G65" s="699"/>
      <c r="H65" s="82"/>
      <c r="I65" s="82"/>
      <c r="J65" s="82"/>
      <c r="K65" s="82"/>
      <c r="L65" s="82"/>
      <c r="M65" s="82"/>
      <c r="N65" s="82"/>
      <c r="O65" s="187"/>
      <c r="P65" s="82"/>
      <c r="Q65" s="643"/>
    </row>
    <row r="66" spans="1:17" ht="15.75">
      <c r="A66" s="644"/>
      <c r="B66" s="191"/>
      <c r="C66" s="673" t="s">
        <v>317</v>
      </c>
      <c r="D66" s="244"/>
      <c r="E66" s="647"/>
      <c r="F66" s="664"/>
      <c r="G66" s="720" t="s">
        <v>82</v>
      </c>
      <c r="H66" s="1127"/>
      <c r="I66" s="1128"/>
      <c r="J66" s="1128"/>
      <c r="K66" s="1128"/>
      <c r="L66" s="1128"/>
      <c r="M66" s="1128"/>
      <c r="N66" s="1128"/>
      <c r="O66" s="1128"/>
      <c r="P66" s="1128"/>
      <c r="Q66" s="1129"/>
    </row>
    <row r="67" spans="1:17" ht="15.75">
      <c r="A67" s="644"/>
      <c r="B67" s="191">
        <v>1</v>
      </c>
      <c r="C67" s="673" t="s">
        <v>323</v>
      </c>
      <c r="D67" s="244"/>
      <c r="E67" s="647"/>
      <c r="F67" s="664"/>
      <c r="G67" s="779">
        <v>0</v>
      </c>
      <c r="H67" s="1127" t="s">
        <v>627</v>
      </c>
      <c r="I67" s="1128"/>
      <c r="J67" s="1128"/>
      <c r="K67" s="1128"/>
      <c r="L67" s="1128"/>
      <c r="M67" s="1128"/>
      <c r="N67" s="1128"/>
      <c r="O67" s="1128"/>
      <c r="P67" s="1128"/>
      <c r="Q67" s="1129"/>
    </row>
    <row r="68" spans="1:17" ht="15.75">
      <c r="A68" s="644"/>
      <c r="B68" s="191"/>
      <c r="C68" s="673" t="s">
        <v>324</v>
      </c>
      <c r="D68" s="244"/>
      <c r="E68" s="647"/>
      <c r="F68" s="664"/>
      <c r="G68" s="779"/>
      <c r="H68" s="246"/>
      <c r="I68" s="114"/>
      <c r="J68" s="114"/>
      <c r="K68" s="114"/>
      <c r="L68" s="114"/>
      <c r="M68" s="114"/>
      <c r="N68" s="114"/>
      <c r="O68" s="114"/>
      <c r="P68" s="114"/>
      <c r="Q68" s="700"/>
    </row>
    <row r="69" spans="1:17" ht="15.75">
      <c r="A69" s="644"/>
      <c r="B69" s="191">
        <v>2</v>
      </c>
      <c r="C69" s="673" t="s">
        <v>325</v>
      </c>
      <c r="D69" s="244"/>
      <c r="E69" s="647"/>
      <c r="F69" s="664"/>
      <c r="G69" s="778" t="s">
        <v>318</v>
      </c>
      <c r="H69" s="1127"/>
      <c r="I69" s="1128"/>
      <c r="J69" s="1128"/>
      <c r="K69" s="1128"/>
      <c r="L69" s="1128"/>
      <c r="M69" s="1128"/>
      <c r="N69" s="1128"/>
      <c r="O69" s="1128"/>
      <c r="P69" s="1128"/>
      <c r="Q69" s="1129"/>
    </row>
    <row r="70" spans="1:17" ht="15.75">
      <c r="A70" s="644"/>
      <c r="B70" s="191"/>
      <c r="C70" s="673" t="s">
        <v>334</v>
      </c>
      <c r="D70" s="721" t="s">
        <v>335</v>
      </c>
      <c r="E70" s="647"/>
      <c r="F70" s="664"/>
      <c r="G70" s="778" t="str">
        <f>+G66</f>
        <v>Enter $</v>
      </c>
      <c r="H70" s="1127"/>
      <c r="I70" s="1128"/>
      <c r="J70" s="1128"/>
      <c r="K70" s="1128"/>
      <c r="L70" s="1128"/>
      <c r="M70" s="1128"/>
      <c r="N70" s="1128"/>
      <c r="O70" s="1128"/>
      <c r="P70" s="1128"/>
      <c r="Q70" s="1129"/>
    </row>
    <row r="71" spans="1:17" ht="15.75">
      <c r="A71" s="702"/>
      <c r="B71" s="722" t="s">
        <v>365</v>
      </c>
      <c r="C71" s="673" t="s">
        <v>336</v>
      </c>
      <c r="D71" s="532">
        <v>1000000</v>
      </c>
      <c r="E71" s="105"/>
      <c r="F71" s="105"/>
      <c r="G71" s="779"/>
      <c r="H71" s="1127"/>
      <c r="I71" s="1128"/>
      <c r="J71" s="1128"/>
      <c r="K71" s="1128"/>
      <c r="L71" s="1128"/>
      <c r="M71" s="1128"/>
      <c r="N71" s="1128"/>
      <c r="O71" s="1128"/>
      <c r="P71" s="1128"/>
      <c r="Q71" s="1129"/>
    </row>
    <row r="72" spans="1:17" ht="15.75">
      <c r="A72" s="702"/>
      <c r="B72" s="722" t="s">
        <v>477</v>
      </c>
      <c r="C72" s="673" t="s">
        <v>337</v>
      </c>
      <c r="D72" s="532">
        <v>500000</v>
      </c>
      <c r="E72" s="105"/>
      <c r="F72" s="105"/>
      <c r="G72" s="779"/>
      <c r="H72" s="1127"/>
      <c r="I72" s="1128"/>
      <c r="J72" s="1128"/>
      <c r="K72" s="1128"/>
      <c r="L72" s="1128"/>
      <c r="M72" s="1128"/>
      <c r="N72" s="1128"/>
      <c r="O72" s="1128"/>
      <c r="P72" s="1128"/>
      <c r="Q72" s="1129"/>
    </row>
    <row r="73" spans="1:17" ht="15.75">
      <c r="A73" s="702"/>
      <c r="B73" s="722" t="s">
        <v>348</v>
      </c>
      <c r="C73" s="673" t="s">
        <v>338</v>
      </c>
      <c r="D73" s="532">
        <v>400000</v>
      </c>
      <c r="E73" s="105"/>
      <c r="F73" s="105"/>
      <c r="G73" s="779"/>
      <c r="H73" s="1127"/>
      <c r="I73" s="1128"/>
      <c r="J73" s="1128"/>
      <c r="K73" s="1128"/>
      <c r="L73" s="1128"/>
      <c r="M73" s="1128"/>
      <c r="N73" s="1128"/>
      <c r="O73" s="1128"/>
      <c r="P73" s="1128"/>
      <c r="Q73" s="1129"/>
    </row>
    <row r="74" spans="1:17" ht="15.75">
      <c r="A74" s="702"/>
      <c r="B74" s="722" t="s">
        <v>366</v>
      </c>
      <c r="C74" s="673" t="s">
        <v>339</v>
      </c>
      <c r="D74" s="532">
        <f>+D71*(D73/(D72+D73))</f>
        <v>444444.44444444444</v>
      </c>
      <c r="E74" s="105"/>
      <c r="F74" s="105"/>
      <c r="G74" s="779"/>
      <c r="H74" s="1127"/>
      <c r="I74" s="1128"/>
      <c r="J74" s="1128"/>
      <c r="K74" s="1128"/>
      <c r="L74" s="1128"/>
      <c r="M74" s="1128"/>
      <c r="N74" s="1128"/>
      <c r="O74" s="1128"/>
      <c r="P74" s="1128"/>
      <c r="Q74" s="1129"/>
    </row>
    <row r="75" spans="1:17" ht="16.5" thickBot="1">
      <c r="A75" s="707"/>
      <c r="B75" s="670"/>
      <c r="C75" s="670"/>
      <c r="D75" s="670"/>
      <c r="E75" s="670"/>
      <c r="F75" s="670"/>
      <c r="G75" s="707"/>
      <c r="H75" s="670"/>
      <c r="I75" s="670"/>
      <c r="J75" s="670"/>
      <c r="K75" s="723" t="s">
        <v>88</v>
      </c>
      <c r="L75" s="670"/>
      <c r="M75" s="670"/>
      <c r="N75" s="670"/>
      <c r="O75" s="670"/>
      <c r="P75" s="670"/>
      <c r="Q75" s="708"/>
    </row>
    <row r="76" spans="1:17" ht="15.75" hidden="1">
      <c r="A76" s="82"/>
      <c r="B76" s="82"/>
      <c r="C76" s="82"/>
      <c r="D76" s="82"/>
      <c r="E76" s="82"/>
      <c r="F76" s="82"/>
      <c r="G76" s="82"/>
      <c r="H76" s="82"/>
      <c r="I76" s="82"/>
      <c r="J76" s="82"/>
      <c r="K76" s="724"/>
      <c r="L76" s="82"/>
      <c r="M76" s="82"/>
      <c r="N76" s="82"/>
      <c r="O76" s="82"/>
      <c r="P76" s="82"/>
      <c r="Q76" s="82"/>
    </row>
    <row r="77" spans="1:17" ht="15.75" hidden="1">
      <c r="A77" s="82"/>
      <c r="B77" s="82"/>
      <c r="C77" s="82"/>
      <c r="D77" s="82"/>
      <c r="E77" s="82"/>
      <c r="F77" s="82"/>
      <c r="G77" s="82"/>
      <c r="H77" s="82"/>
      <c r="I77" s="82"/>
      <c r="J77" s="82"/>
      <c r="K77" s="724"/>
      <c r="L77" s="82"/>
      <c r="M77" s="82"/>
      <c r="N77" s="82"/>
      <c r="O77" s="82"/>
      <c r="P77" s="82"/>
      <c r="Q77" s="82"/>
    </row>
    <row r="78" spans="1:17" ht="15.75">
      <c r="A78" s="82"/>
      <c r="B78" s="82"/>
      <c r="C78" s="82"/>
      <c r="D78" s="82"/>
      <c r="E78" s="82"/>
      <c r="F78" s="82"/>
      <c r="G78" s="82"/>
      <c r="H78" s="82"/>
      <c r="I78" s="82"/>
      <c r="J78" s="82"/>
      <c r="K78" s="724"/>
      <c r="L78" s="82"/>
      <c r="M78" s="82"/>
      <c r="N78" s="82"/>
      <c r="O78" s="82"/>
      <c r="P78" s="82"/>
      <c r="Q78" s="82"/>
    </row>
    <row r="79" spans="1:17" ht="15.75">
      <c r="A79" s="191"/>
      <c r="B79" s="191"/>
      <c r="C79" s="191"/>
      <c r="D79" s="191"/>
      <c r="E79" s="645"/>
      <c r="F79" s="191"/>
      <c r="G79" s="82"/>
      <c r="H79" s="82"/>
      <c r="I79" s="63"/>
      <c r="J79" s="82"/>
      <c r="K79" s="724"/>
      <c r="L79" s="82"/>
      <c r="M79" s="82"/>
      <c r="N79" s="82"/>
      <c r="O79" s="82"/>
      <c r="P79" s="82"/>
      <c r="Q79" s="82"/>
    </row>
    <row r="80" ht="16.5" thickBot="1">
      <c r="A80" s="697" t="s">
        <v>294</v>
      </c>
    </row>
    <row r="81" spans="1:17" ht="87" customHeight="1">
      <c r="A81" s="1119" t="s">
        <v>320</v>
      </c>
      <c r="B81" s="1120"/>
      <c r="C81" s="1120"/>
      <c r="D81" s="1120"/>
      <c r="E81" s="1120"/>
      <c r="F81" s="1121"/>
      <c r="G81" s="694" t="s">
        <v>321</v>
      </c>
      <c r="H81" s="694" t="s">
        <v>685</v>
      </c>
      <c r="I81" s="694" t="s">
        <v>559</v>
      </c>
      <c r="J81" s="694" t="s">
        <v>386</v>
      </c>
      <c r="K81" s="694" t="s">
        <v>295</v>
      </c>
      <c r="L81" s="694" t="s">
        <v>106</v>
      </c>
      <c r="M81" s="954"/>
      <c r="N81" s="1124" t="s">
        <v>340</v>
      </c>
      <c r="O81" s="1124"/>
      <c r="P81" s="1124"/>
      <c r="Q81" s="1141"/>
    </row>
    <row r="82" spans="1:17" ht="15.75">
      <c r="A82" s="725">
        <f>+'Appendix A'!A73</f>
        <v>36</v>
      </c>
      <c r="B82" s="254" t="s">
        <v>386</v>
      </c>
      <c r="C82" s="256"/>
      <c r="D82" s="796"/>
      <c r="E82" s="677"/>
      <c r="F82" s="677"/>
      <c r="G82" s="699"/>
      <c r="H82" s="82"/>
      <c r="I82" s="82"/>
      <c r="J82" s="82"/>
      <c r="K82" s="82"/>
      <c r="L82" s="82"/>
      <c r="M82" s="82"/>
      <c r="N82" s="82"/>
      <c r="O82" s="82"/>
      <c r="P82" s="82"/>
      <c r="Q82" s="643"/>
    </row>
    <row r="83" spans="1:17" ht="15">
      <c r="A83" s="644"/>
      <c r="B83" s="191"/>
      <c r="C83" s="105" t="s">
        <v>313</v>
      </c>
      <c r="D83" s="872"/>
      <c r="E83" s="796" t="str">
        <f>'Appendix A'!E73</f>
        <v>(Note A) (Note O)</v>
      </c>
      <c r="F83" s="63" t="s">
        <v>544</v>
      </c>
      <c r="G83" s="945">
        <v>10150855</v>
      </c>
      <c r="H83" s="946">
        <f>'8 - Securitization'!E14</f>
        <v>0</v>
      </c>
      <c r="I83" s="946">
        <v>3424883</v>
      </c>
      <c r="J83" s="947">
        <f>G83-H83-I83</f>
        <v>6725972</v>
      </c>
      <c r="K83" s="870">
        <f>'Appendix A'!H15</f>
        <v>0.09918079240879704</v>
      </c>
      <c r="L83" s="871">
        <f>J83*K83</f>
        <v>667087.2326793815</v>
      </c>
      <c r="N83" s="63" t="s">
        <v>557</v>
      </c>
      <c r="O83" s="63"/>
      <c r="P83" s="63"/>
      <c r="Q83" s="649"/>
    </row>
    <row r="84" spans="1:17" ht="16.5" thickBot="1">
      <c r="A84" s="654"/>
      <c r="B84" s="669"/>
      <c r="C84" s="656"/>
      <c r="D84" s="686"/>
      <c r="E84" s="687"/>
      <c r="F84" s="873"/>
      <c r="G84" s="874"/>
      <c r="H84" s="674"/>
      <c r="I84" s="674"/>
      <c r="J84" s="674"/>
      <c r="K84" s="726"/>
      <c r="L84" s="674"/>
      <c r="M84" s="674"/>
      <c r="N84" s="674" t="s">
        <v>558</v>
      </c>
      <c r="O84" s="674"/>
      <c r="P84" s="674"/>
      <c r="Q84" s="727"/>
    </row>
    <row r="85" spans="1:17" ht="15.75">
      <c r="A85" s="82"/>
      <c r="B85" s="82"/>
      <c r="C85" s="82"/>
      <c r="D85" s="82"/>
      <c r="E85" s="82"/>
      <c r="F85" s="82"/>
      <c r="G85" s="82"/>
      <c r="H85" s="82"/>
      <c r="I85" s="82"/>
      <c r="J85" s="82"/>
      <c r="K85" s="724"/>
      <c r="L85" s="82"/>
      <c r="M85" s="82"/>
      <c r="N85" s="82"/>
      <c r="O85" s="82"/>
      <c r="P85" s="82"/>
      <c r="Q85" s="82"/>
    </row>
    <row r="86" spans="1:17" ht="15.75" hidden="1">
      <c r="A86" s="82"/>
      <c r="B86" s="82"/>
      <c r="C86" s="82"/>
      <c r="D86" s="82"/>
      <c r="E86" s="82"/>
      <c r="F86" s="82"/>
      <c r="G86" s="82"/>
      <c r="H86" s="82"/>
      <c r="I86" s="82"/>
      <c r="J86" s="82"/>
      <c r="K86" s="724"/>
      <c r="L86" s="82"/>
      <c r="M86" s="82"/>
      <c r="N86" s="82"/>
      <c r="O86" s="82"/>
      <c r="P86" s="82"/>
      <c r="Q86" s="82"/>
    </row>
    <row r="87" ht="16.5" hidden="1" thickBot="1">
      <c r="A87" s="697"/>
    </row>
    <row r="88" spans="1:17" ht="15.75">
      <c r="A88" s="1119" t="s">
        <v>579</v>
      </c>
      <c r="B88" s="1120"/>
      <c r="C88" s="1120"/>
      <c r="D88" s="1120"/>
      <c r="E88" s="1120"/>
      <c r="F88" s="1121"/>
      <c r="G88" s="694">
        <f>+C90</f>
        <v>0</v>
      </c>
      <c r="H88" s="1147" t="s">
        <v>90</v>
      </c>
      <c r="I88" s="1137"/>
      <c r="J88" s="1137"/>
      <c r="K88" s="1137"/>
      <c r="L88" s="1137"/>
      <c r="M88" s="1137"/>
      <c r="N88" s="1137"/>
      <c r="O88" s="1137"/>
      <c r="P88" s="1137"/>
      <c r="Q88" s="1138"/>
    </row>
    <row r="89" spans="1:17" ht="15.75">
      <c r="A89" s="719"/>
      <c r="B89" s="254"/>
      <c r="C89" s="256"/>
      <c r="D89" s="255"/>
      <c r="E89" s="665"/>
      <c r="F89" s="682"/>
      <c r="G89" s="187" t="s">
        <v>82</v>
      </c>
      <c r="H89" s="699"/>
      <c r="I89" s="82"/>
      <c r="J89" s="82"/>
      <c r="K89" s="82"/>
      <c r="L89" s="82"/>
      <c r="M89" s="82"/>
      <c r="N89" s="82"/>
      <c r="O89" s="82"/>
      <c r="P89" s="82"/>
      <c r="Q89" s="643"/>
    </row>
    <row r="90" spans="1:17" ht="15.75">
      <c r="A90" s="644"/>
      <c r="B90" s="191"/>
      <c r="C90" s="600"/>
      <c r="D90" s="191"/>
      <c r="E90" s="82"/>
      <c r="F90" s="688" t="e">
        <f>+'Appendix A'!#REF!</f>
        <v>#REF!</v>
      </c>
      <c r="G90" s="721">
        <v>0</v>
      </c>
      <c r="H90" s="1146" t="s">
        <v>627</v>
      </c>
      <c r="I90" s="1128"/>
      <c r="J90" s="1128"/>
      <c r="K90" s="1128"/>
      <c r="L90" s="1128"/>
      <c r="M90" s="1128"/>
      <c r="N90" s="1128"/>
      <c r="O90" s="1128"/>
      <c r="P90" s="1128"/>
      <c r="Q90" s="1129"/>
    </row>
    <row r="91" spans="1:17" ht="15.75" hidden="1">
      <c r="A91" s="644"/>
      <c r="B91" s="191"/>
      <c r="C91" s="600"/>
      <c r="D91" s="191"/>
      <c r="E91" s="82"/>
      <c r="F91" s="688"/>
      <c r="G91" s="187"/>
      <c r="H91" s="702"/>
      <c r="I91" s="105"/>
      <c r="J91" s="105"/>
      <c r="K91" s="105"/>
      <c r="L91" s="105"/>
      <c r="M91" s="105"/>
      <c r="N91" s="105"/>
      <c r="O91" s="105"/>
      <c r="P91" s="105"/>
      <c r="Q91" s="709"/>
    </row>
    <row r="92" spans="1:17" ht="15.75" hidden="1">
      <c r="A92" s="644"/>
      <c r="B92" s="191"/>
      <c r="C92" s="600"/>
      <c r="D92" s="191"/>
      <c r="E92" s="105"/>
      <c r="F92" s="688"/>
      <c r="G92" s="721"/>
      <c r="H92" s="1146"/>
      <c r="I92" s="1128"/>
      <c r="J92" s="1128"/>
      <c r="K92" s="1128"/>
      <c r="L92" s="1128"/>
      <c r="M92" s="1128"/>
      <c r="N92" s="1128"/>
      <c r="O92" s="1128"/>
      <c r="P92" s="1128"/>
      <c r="Q92" s="1129"/>
    </row>
    <row r="93" spans="1:17" ht="16.5" thickBot="1">
      <c r="A93" s="654"/>
      <c r="B93" s="669"/>
      <c r="C93" s="669"/>
      <c r="D93" s="669"/>
      <c r="E93" s="658"/>
      <c r="F93" s="689"/>
      <c r="G93" s="670"/>
      <c r="H93" s="707"/>
      <c r="I93" s="670"/>
      <c r="J93" s="670"/>
      <c r="K93" s="723" t="s">
        <v>88</v>
      </c>
      <c r="L93" s="670"/>
      <c r="M93" s="670"/>
      <c r="N93" s="670"/>
      <c r="O93" s="670"/>
      <c r="P93" s="670"/>
      <c r="Q93" s="708"/>
    </row>
    <row r="94" spans="1:17" ht="15.75" hidden="1">
      <c r="A94" s="191"/>
      <c r="B94" s="191"/>
      <c r="C94" s="191"/>
      <c r="D94" s="191"/>
      <c r="E94" s="645"/>
      <c r="F94" s="191"/>
      <c r="G94" s="82"/>
      <c r="H94" s="82"/>
      <c r="I94" s="82"/>
      <c r="J94" s="82"/>
      <c r="K94" s="724"/>
      <c r="L94" s="82"/>
      <c r="M94" s="82"/>
      <c r="N94" s="82"/>
      <c r="O94" s="82"/>
      <c r="P94" s="82"/>
      <c r="Q94" s="82"/>
    </row>
    <row r="95" spans="1:256" ht="15">
      <c r="A95" s="191"/>
      <c r="B95" s="191"/>
      <c r="C95" s="600"/>
      <c r="D95" s="191"/>
      <c r="E95" s="191"/>
      <c r="F95" s="191"/>
      <c r="G95" s="191"/>
      <c r="H95" s="191"/>
      <c r="I95" s="600"/>
      <c r="J95" s="191"/>
      <c r="K95" s="191"/>
      <c r="L95" s="82"/>
      <c r="M95" s="82"/>
      <c r="N95" s="191"/>
      <c r="O95" s="600"/>
      <c r="P95" s="191"/>
      <c r="Q95" s="82"/>
      <c r="R95" s="191"/>
      <c r="S95" s="191"/>
      <c r="T95" s="191"/>
      <c r="U95" s="600"/>
      <c r="V95" s="191"/>
      <c r="W95" s="191"/>
      <c r="X95" s="191"/>
      <c r="Y95" s="191"/>
      <c r="Z95" s="191"/>
      <c r="AA95" s="600"/>
      <c r="AB95" s="191"/>
      <c r="AC95" s="191"/>
      <c r="AD95" s="191"/>
      <c r="AE95" s="191"/>
      <c r="AF95" s="191"/>
      <c r="AG95" s="600"/>
      <c r="AH95" s="191"/>
      <c r="AI95" s="191"/>
      <c r="AJ95" s="191"/>
      <c r="AK95" s="191"/>
      <c r="AL95" s="191"/>
      <c r="AM95" s="600"/>
      <c r="AN95" s="191"/>
      <c r="AO95" s="191"/>
      <c r="AP95" s="191"/>
      <c r="AQ95" s="191"/>
      <c r="AR95" s="191"/>
      <c r="AS95" s="600"/>
      <c r="AT95" s="191"/>
      <c r="AU95" s="191"/>
      <c r="AV95" s="191"/>
      <c r="AW95" s="191"/>
      <c r="AX95" s="191"/>
      <c r="AY95" s="600"/>
      <c r="AZ95" s="191"/>
      <c r="BA95" s="191"/>
      <c r="BB95" s="191"/>
      <c r="BC95" s="191"/>
      <c r="BD95" s="191"/>
      <c r="BE95" s="600"/>
      <c r="BF95" s="191"/>
      <c r="BG95" s="191"/>
      <c r="BH95" s="191"/>
      <c r="BI95" s="191"/>
      <c r="BJ95" s="191"/>
      <c r="BK95" s="600"/>
      <c r="BL95" s="191"/>
      <c r="BM95" s="191"/>
      <c r="BN95" s="191"/>
      <c r="BO95" s="191"/>
      <c r="BP95" s="191"/>
      <c r="BQ95" s="600"/>
      <c r="BR95" s="191"/>
      <c r="BS95" s="191"/>
      <c r="BT95" s="191"/>
      <c r="BU95" s="191"/>
      <c r="BV95" s="191"/>
      <c r="BW95" s="600"/>
      <c r="BX95" s="191"/>
      <c r="BY95" s="191"/>
      <c r="BZ95" s="191"/>
      <c r="CA95" s="191"/>
      <c r="CB95" s="191"/>
      <c r="CC95" s="600"/>
      <c r="CD95" s="191"/>
      <c r="CE95" s="191"/>
      <c r="CF95" s="191"/>
      <c r="CG95" s="191"/>
      <c r="CH95" s="191"/>
      <c r="CI95" s="600"/>
      <c r="CJ95" s="191"/>
      <c r="CK95" s="191"/>
      <c r="CL95" s="191"/>
      <c r="CM95" s="191"/>
      <c r="CN95" s="191"/>
      <c r="CO95" s="600"/>
      <c r="CP95" s="191"/>
      <c r="CQ95" s="191"/>
      <c r="CR95" s="191"/>
      <c r="CS95" s="191"/>
      <c r="CT95" s="191"/>
      <c r="CU95" s="600"/>
      <c r="CV95" s="191"/>
      <c r="CW95" s="191"/>
      <c r="CX95" s="191"/>
      <c r="CY95" s="191"/>
      <c r="CZ95" s="191"/>
      <c r="DA95" s="600"/>
      <c r="DB95" s="191"/>
      <c r="DC95" s="191"/>
      <c r="DD95" s="191"/>
      <c r="DE95" s="191"/>
      <c r="DF95" s="191"/>
      <c r="DG95" s="600"/>
      <c r="DH95" s="191"/>
      <c r="DI95" s="191"/>
      <c r="DJ95" s="191"/>
      <c r="DK95" s="191"/>
      <c r="DL95" s="191"/>
      <c r="DM95" s="600"/>
      <c r="DN95" s="191"/>
      <c r="DO95" s="191"/>
      <c r="DP95" s="191"/>
      <c r="DQ95" s="191"/>
      <c r="DR95" s="191"/>
      <c r="DS95" s="600"/>
      <c r="DT95" s="191"/>
      <c r="DU95" s="191"/>
      <c r="DV95" s="191"/>
      <c r="DW95" s="191"/>
      <c r="DX95" s="191"/>
      <c r="DY95" s="600"/>
      <c r="DZ95" s="191"/>
      <c r="EA95" s="191"/>
      <c r="EB95" s="191"/>
      <c r="EC95" s="191"/>
      <c r="ED95" s="191"/>
      <c r="EE95" s="600"/>
      <c r="EF95" s="191"/>
      <c r="EG95" s="191"/>
      <c r="EH95" s="191"/>
      <c r="EI95" s="191"/>
      <c r="EJ95" s="191"/>
      <c r="EK95" s="600"/>
      <c r="EL95" s="191"/>
      <c r="EM95" s="191"/>
      <c r="EN95" s="191"/>
      <c r="EO95" s="191"/>
      <c r="EP95" s="191"/>
      <c r="EQ95" s="600"/>
      <c r="ER95" s="191"/>
      <c r="ES95" s="191"/>
      <c r="ET95" s="191"/>
      <c r="EU95" s="191"/>
      <c r="EV95" s="191"/>
      <c r="EW95" s="600"/>
      <c r="EX95" s="191"/>
      <c r="EY95" s="191"/>
      <c r="EZ95" s="191"/>
      <c r="FA95" s="191"/>
      <c r="FB95" s="191"/>
      <c r="FC95" s="600"/>
      <c r="FD95" s="191"/>
      <c r="FE95" s="191"/>
      <c r="FF95" s="191"/>
      <c r="FG95" s="191"/>
      <c r="FH95" s="191"/>
      <c r="FI95" s="600"/>
      <c r="FJ95" s="191"/>
      <c r="FK95" s="191"/>
      <c r="FL95" s="191"/>
      <c r="FM95" s="191"/>
      <c r="FN95" s="191"/>
      <c r="FO95" s="600"/>
      <c r="FP95" s="191"/>
      <c r="FQ95" s="191"/>
      <c r="FR95" s="191"/>
      <c r="FS95" s="191"/>
      <c r="FT95" s="191"/>
      <c r="FU95" s="600"/>
      <c r="FV95" s="191"/>
      <c r="FW95" s="191"/>
      <c r="FX95" s="191"/>
      <c r="FY95" s="191"/>
      <c r="FZ95" s="191"/>
      <c r="GA95" s="600"/>
      <c r="GB95" s="191"/>
      <c r="GC95" s="191"/>
      <c r="GD95" s="191"/>
      <c r="GE95" s="191"/>
      <c r="GF95" s="191"/>
      <c r="GG95" s="600"/>
      <c r="GH95" s="191"/>
      <c r="GI95" s="191"/>
      <c r="GJ95" s="191"/>
      <c r="GK95" s="191"/>
      <c r="GL95" s="191"/>
      <c r="GM95" s="600"/>
      <c r="GN95" s="191"/>
      <c r="GO95" s="191"/>
      <c r="GP95" s="191"/>
      <c r="GQ95" s="191"/>
      <c r="GR95" s="191"/>
      <c r="GS95" s="600"/>
      <c r="GT95" s="191"/>
      <c r="GU95" s="191"/>
      <c r="GV95" s="191"/>
      <c r="GW95" s="191"/>
      <c r="GX95" s="191"/>
      <c r="GY95" s="600"/>
      <c r="GZ95" s="191"/>
      <c r="HA95" s="191"/>
      <c r="HB95" s="191"/>
      <c r="HC95" s="191"/>
      <c r="HD95" s="191"/>
      <c r="HE95" s="600"/>
      <c r="HF95" s="191"/>
      <c r="HG95" s="191"/>
      <c r="HH95" s="191"/>
      <c r="HI95" s="191"/>
      <c r="HJ95" s="191"/>
      <c r="HK95" s="600"/>
      <c r="HL95" s="191"/>
      <c r="HM95" s="191"/>
      <c r="HN95" s="191"/>
      <c r="HO95" s="191"/>
      <c r="HP95" s="191"/>
      <c r="HQ95" s="600"/>
      <c r="HR95" s="191"/>
      <c r="HS95" s="191"/>
      <c r="HT95" s="191"/>
      <c r="HU95" s="191"/>
      <c r="HV95" s="191"/>
      <c r="HW95" s="600"/>
      <c r="HX95" s="191"/>
      <c r="HY95" s="191"/>
      <c r="HZ95" s="191"/>
      <c r="IA95" s="191"/>
      <c r="IB95" s="191"/>
      <c r="IC95" s="600"/>
      <c r="ID95" s="191"/>
      <c r="IE95" s="191"/>
      <c r="IF95" s="191"/>
      <c r="IG95" s="191"/>
      <c r="IH95" s="191"/>
      <c r="II95" s="600"/>
      <c r="IJ95" s="191"/>
      <c r="IK95" s="191"/>
      <c r="IL95" s="191"/>
      <c r="IM95" s="191"/>
      <c r="IN95" s="191"/>
      <c r="IO95" s="600"/>
      <c r="IP95" s="191"/>
      <c r="IQ95" s="191"/>
      <c r="IR95" s="191"/>
      <c r="IS95" s="191"/>
      <c r="IT95" s="191"/>
      <c r="IU95" s="600"/>
      <c r="IV95" s="191"/>
    </row>
    <row r="96" spans="1:256" ht="23.25" customHeight="1" thickBot="1">
      <c r="A96" s="728" t="s">
        <v>578</v>
      </c>
      <c r="B96" s="191"/>
      <c r="C96" s="191"/>
      <c r="D96" s="191"/>
      <c r="E96" s="645"/>
      <c r="F96" s="191"/>
      <c r="G96" s="82"/>
      <c r="H96" s="82"/>
      <c r="I96" s="82"/>
      <c r="J96" s="82"/>
      <c r="K96" s="724"/>
      <c r="L96" s="82"/>
      <c r="M96" s="82"/>
      <c r="N96" s="82"/>
      <c r="O96" s="82"/>
      <c r="P96" s="82"/>
      <c r="Q96" s="82"/>
      <c r="S96" s="191"/>
      <c r="T96" s="191"/>
      <c r="U96" s="600"/>
      <c r="V96" s="191"/>
      <c r="W96" s="191"/>
      <c r="X96" s="191"/>
      <c r="Y96" s="191"/>
      <c r="Z96" s="191"/>
      <c r="AA96" s="600"/>
      <c r="AB96" s="191"/>
      <c r="AC96" s="191"/>
      <c r="AD96" s="191"/>
      <c r="AE96" s="191"/>
      <c r="AF96" s="191"/>
      <c r="AG96" s="600"/>
      <c r="AH96" s="191"/>
      <c r="AI96" s="191"/>
      <c r="AJ96" s="191"/>
      <c r="AK96" s="191"/>
      <c r="AL96" s="191"/>
      <c r="AM96" s="600"/>
      <c r="AN96" s="191"/>
      <c r="AO96" s="191"/>
      <c r="AP96" s="191"/>
      <c r="AQ96" s="191"/>
      <c r="AR96" s="191"/>
      <c r="AS96" s="600"/>
      <c r="AT96" s="191"/>
      <c r="AU96" s="191"/>
      <c r="AV96" s="191"/>
      <c r="AW96" s="191"/>
      <c r="AX96" s="191"/>
      <c r="AY96" s="600"/>
      <c r="AZ96" s="191"/>
      <c r="BA96" s="191"/>
      <c r="BB96" s="191"/>
      <c r="BC96" s="191"/>
      <c r="BD96" s="191"/>
      <c r="BE96" s="600"/>
      <c r="BF96" s="191"/>
      <c r="BG96" s="191"/>
      <c r="BH96" s="191"/>
      <c r="BI96" s="191"/>
      <c r="BJ96" s="191"/>
      <c r="BK96" s="600"/>
      <c r="BL96" s="191"/>
      <c r="BM96" s="191"/>
      <c r="BN96" s="191"/>
      <c r="BO96" s="191"/>
      <c r="BP96" s="191"/>
      <c r="BQ96" s="600"/>
      <c r="BR96" s="191"/>
      <c r="BS96" s="191"/>
      <c r="BT96" s="191"/>
      <c r="BU96" s="191"/>
      <c r="BV96" s="191"/>
      <c r="BW96" s="600"/>
      <c r="BX96" s="191"/>
      <c r="BY96" s="191"/>
      <c r="BZ96" s="191"/>
      <c r="CA96" s="191"/>
      <c r="CB96" s="191"/>
      <c r="CC96" s="600"/>
      <c r="CD96" s="191"/>
      <c r="CE96" s="191"/>
      <c r="CF96" s="191"/>
      <c r="CG96" s="191"/>
      <c r="CH96" s="191"/>
      <c r="CI96" s="600"/>
      <c r="CJ96" s="191"/>
      <c r="CK96" s="191"/>
      <c r="CL96" s="191"/>
      <c r="CM96" s="191"/>
      <c r="CN96" s="191"/>
      <c r="CO96" s="600"/>
      <c r="CP96" s="191"/>
      <c r="CQ96" s="191"/>
      <c r="CR96" s="191"/>
      <c r="CS96" s="191"/>
      <c r="CT96" s="191"/>
      <c r="CU96" s="600"/>
      <c r="CV96" s="191"/>
      <c r="CW96" s="191"/>
      <c r="CX96" s="191"/>
      <c r="CY96" s="191"/>
      <c r="CZ96" s="191"/>
      <c r="DA96" s="600"/>
      <c r="DB96" s="191"/>
      <c r="DC96" s="191"/>
      <c r="DD96" s="191"/>
      <c r="DE96" s="191"/>
      <c r="DF96" s="191"/>
      <c r="DG96" s="600"/>
      <c r="DH96" s="191"/>
      <c r="DI96" s="191"/>
      <c r="DJ96" s="191"/>
      <c r="DK96" s="191"/>
      <c r="DL96" s="191"/>
      <c r="DM96" s="600"/>
      <c r="DN96" s="191"/>
      <c r="DO96" s="191"/>
      <c r="DP96" s="191"/>
      <c r="DQ96" s="191"/>
      <c r="DR96" s="191"/>
      <c r="DS96" s="600"/>
      <c r="DT96" s="191"/>
      <c r="DU96" s="191"/>
      <c r="DV96" s="191"/>
      <c r="DW96" s="191"/>
      <c r="DX96" s="191"/>
      <c r="DY96" s="600"/>
      <c r="DZ96" s="191"/>
      <c r="EA96" s="191"/>
      <c r="EB96" s="191"/>
      <c r="EC96" s="191"/>
      <c r="ED96" s="191"/>
      <c r="EE96" s="600"/>
      <c r="EF96" s="191"/>
      <c r="EG96" s="191"/>
      <c r="EH96" s="191"/>
      <c r="EI96" s="191"/>
      <c r="EJ96" s="191"/>
      <c r="EK96" s="600"/>
      <c r="EL96" s="191"/>
      <c r="EM96" s="191"/>
      <c r="EN96" s="191"/>
      <c r="EO96" s="191"/>
      <c r="EP96" s="191"/>
      <c r="EQ96" s="600"/>
      <c r="ER96" s="191"/>
      <c r="ES96" s="191"/>
      <c r="ET96" s="191"/>
      <c r="EU96" s="191"/>
      <c r="EV96" s="191"/>
      <c r="EW96" s="600"/>
      <c r="EX96" s="191"/>
      <c r="EY96" s="191"/>
      <c r="EZ96" s="191"/>
      <c r="FA96" s="191"/>
      <c r="FB96" s="191"/>
      <c r="FC96" s="600"/>
      <c r="FD96" s="191"/>
      <c r="FE96" s="191"/>
      <c r="FF96" s="191"/>
      <c r="FG96" s="191"/>
      <c r="FH96" s="191"/>
      <c r="FI96" s="600"/>
      <c r="FJ96" s="191"/>
      <c r="FK96" s="191"/>
      <c r="FL96" s="191"/>
      <c r="FM96" s="191"/>
      <c r="FN96" s="191"/>
      <c r="FO96" s="600"/>
      <c r="FP96" s="191"/>
      <c r="FQ96" s="191"/>
      <c r="FR96" s="191"/>
      <c r="FS96" s="191"/>
      <c r="FT96" s="191"/>
      <c r="FU96" s="600"/>
      <c r="FV96" s="191"/>
      <c r="FW96" s="191"/>
      <c r="FX96" s="191"/>
      <c r="FY96" s="191"/>
      <c r="FZ96" s="191"/>
      <c r="GA96" s="600"/>
      <c r="GB96" s="191"/>
      <c r="GC96" s="191"/>
      <c r="GD96" s="191"/>
      <c r="GE96" s="191"/>
      <c r="GF96" s="191"/>
      <c r="GG96" s="600"/>
      <c r="GH96" s="191"/>
      <c r="GI96" s="191"/>
      <c r="GJ96" s="191"/>
      <c r="GK96" s="191"/>
      <c r="GL96" s="191"/>
      <c r="GM96" s="600"/>
      <c r="GN96" s="191"/>
      <c r="GO96" s="191"/>
      <c r="GP96" s="191"/>
      <c r="GQ96" s="191"/>
      <c r="GR96" s="191"/>
      <c r="GS96" s="600"/>
      <c r="GT96" s="191"/>
      <c r="GU96" s="191"/>
      <c r="GV96" s="191"/>
      <c r="GW96" s="191"/>
      <c r="GX96" s="191"/>
      <c r="GY96" s="600"/>
      <c r="GZ96" s="191"/>
      <c r="HA96" s="191"/>
      <c r="HB96" s="191"/>
      <c r="HC96" s="191"/>
      <c r="HD96" s="191"/>
      <c r="HE96" s="600"/>
      <c r="HF96" s="191"/>
      <c r="HG96" s="191"/>
      <c r="HH96" s="191"/>
      <c r="HI96" s="191"/>
      <c r="HJ96" s="191"/>
      <c r="HK96" s="600"/>
      <c r="HL96" s="191"/>
      <c r="HM96" s="191"/>
      <c r="HN96" s="191"/>
      <c r="HO96" s="191"/>
      <c r="HP96" s="191"/>
      <c r="HQ96" s="600"/>
      <c r="HR96" s="191"/>
      <c r="HS96" s="191"/>
      <c r="HT96" s="191"/>
      <c r="HU96" s="191"/>
      <c r="HV96" s="191"/>
      <c r="HW96" s="600"/>
      <c r="HX96" s="191"/>
      <c r="HY96" s="191"/>
      <c r="HZ96" s="191"/>
      <c r="IA96" s="191"/>
      <c r="IB96" s="191"/>
      <c r="IC96" s="600"/>
      <c r="ID96" s="191"/>
      <c r="IE96" s="191"/>
      <c r="IF96" s="191"/>
      <c r="IG96" s="191"/>
      <c r="IH96" s="191"/>
      <c r="II96" s="600"/>
      <c r="IJ96" s="191"/>
      <c r="IK96" s="191"/>
      <c r="IL96" s="191"/>
      <c r="IM96" s="191"/>
      <c r="IN96" s="191"/>
      <c r="IO96" s="600"/>
      <c r="IP96" s="191"/>
      <c r="IQ96" s="191"/>
      <c r="IR96" s="191"/>
      <c r="IS96" s="191"/>
      <c r="IT96" s="191"/>
      <c r="IU96" s="600"/>
      <c r="IV96" s="191"/>
    </row>
    <row r="97" spans="1:256" ht="33" customHeight="1">
      <c r="A97" s="1119" t="s">
        <v>320</v>
      </c>
      <c r="B97" s="1120"/>
      <c r="C97" s="1120"/>
      <c r="D97" s="1120"/>
      <c r="E97" s="1120"/>
      <c r="F97" s="1121"/>
      <c r="G97" s="694" t="s">
        <v>476</v>
      </c>
      <c r="H97" s="694" t="s">
        <v>319</v>
      </c>
      <c r="I97" s="694" t="s">
        <v>73</v>
      </c>
      <c r="J97" s="1124" t="s">
        <v>30</v>
      </c>
      <c r="K97" s="1125"/>
      <c r="L97" s="1125"/>
      <c r="M97" s="1125"/>
      <c r="N97" s="1125"/>
      <c r="O97" s="1125"/>
      <c r="P97" s="1125"/>
      <c r="Q97" s="1126"/>
      <c r="S97" s="191"/>
      <c r="T97" s="191"/>
      <c r="U97" s="600"/>
      <c r="V97" s="191"/>
      <c r="W97" s="191"/>
      <c r="X97" s="191"/>
      <c r="Y97" s="191"/>
      <c r="Z97" s="191"/>
      <c r="AA97" s="600"/>
      <c r="AB97" s="191"/>
      <c r="AC97" s="191"/>
      <c r="AD97" s="191"/>
      <c r="AE97" s="191"/>
      <c r="AF97" s="191"/>
      <c r="AG97" s="600"/>
      <c r="AH97" s="191"/>
      <c r="AI97" s="191"/>
      <c r="AJ97" s="191"/>
      <c r="AK97" s="191"/>
      <c r="AL97" s="191"/>
      <c r="AM97" s="600"/>
      <c r="AN97" s="191"/>
      <c r="AO97" s="191"/>
      <c r="AP97" s="191"/>
      <c r="AQ97" s="191"/>
      <c r="AR97" s="191"/>
      <c r="AS97" s="600"/>
      <c r="AT97" s="191"/>
      <c r="AU97" s="191"/>
      <c r="AV97" s="191"/>
      <c r="AW97" s="191"/>
      <c r="AX97" s="191"/>
      <c r="AY97" s="600"/>
      <c r="AZ97" s="191"/>
      <c r="BA97" s="191"/>
      <c r="BB97" s="191"/>
      <c r="BC97" s="191"/>
      <c r="BD97" s="191"/>
      <c r="BE97" s="600"/>
      <c r="BF97" s="191"/>
      <c r="BG97" s="191"/>
      <c r="BH97" s="191"/>
      <c r="BI97" s="191"/>
      <c r="BJ97" s="191"/>
      <c r="BK97" s="600"/>
      <c r="BL97" s="191"/>
      <c r="BM97" s="191"/>
      <c r="BN97" s="191"/>
      <c r="BO97" s="191"/>
      <c r="BP97" s="191"/>
      <c r="BQ97" s="600"/>
      <c r="BR97" s="191"/>
      <c r="BS97" s="191"/>
      <c r="BT97" s="191"/>
      <c r="BU97" s="191"/>
      <c r="BV97" s="191"/>
      <c r="BW97" s="600"/>
      <c r="BX97" s="191"/>
      <c r="BY97" s="191"/>
      <c r="BZ97" s="191"/>
      <c r="CA97" s="191"/>
      <c r="CB97" s="191"/>
      <c r="CC97" s="600"/>
      <c r="CD97" s="191"/>
      <c r="CE97" s="191"/>
      <c r="CF97" s="191"/>
      <c r="CG97" s="191"/>
      <c r="CH97" s="191"/>
      <c r="CI97" s="600"/>
      <c r="CJ97" s="191"/>
      <c r="CK97" s="191"/>
      <c r="CL97" s="191"/>
      <c r="CM97" s="191"/>
      <c r="CN97" s="191"/>
      <c r="CO97" s="600"/>
      <c r="CP97" s="191"/>
      <c r="CQ97" s="191"/>
      <c r="CR97" s="191"/>
      <c r="CS97" s="191"/>
      <c r="CT97" s="191"/>
      <c r="CU97" s="600"/>
      <c r="CV97" s="191"/>
      <c r="CW97" s="191"/>
      <c r="CX97" s="191"/>
      <c r="CY97" s="191"/>
      <c r="CZ97" s="191"/>
      <c r="DA97" s="600"/>
      <c r="DB97" s="191"/>
      <c r="DC97" s="191"/>
      <c r="DD97" s="191"/>
      <c r="DE97" s="191"/>
      <c r="DF97" s="191"/>
      <c r="DG97" s="600"/>
      <c r="DH97" s="191"/>
      <c r="DI97" s="191"/>
      <c r="DJ97" s="191"/>
      <c r="DK97" s="191"/>
      <c r="DL97" s="191"/>
      <c r="DM97" s="600"/>
      <c r="DN97" s="191"/>
      <c r="DO97" s="191"/>
      <c r="DP97" s="191"/>
      <c r="DQ97" s="191"/>
      <c r="DR97" s="191"/>
      <c r="DS97" s="600"/>
      <c r="DT97" s="191"/>
      <c r="DU97" s="191"/>
      <c r="DV97" s="191"/>
      <c r="DW97" s="191"/>
      <c r="DX97" s="191"/>
      <c r="DY97" s="600"/>
      <c r="DZ97" s="191"/>
      <c r="EA97" s="191"/>
      <c r="EB97" s="191"/>
      <c r="EC97" s="191"/>
      <c r="ED97" s="191"/>
      <c r="EE97" s="600"/>
      <c r="EF97" s="191"/>
      <c r="EG97" s="191"/>
      <c r="EH97" s="191"/>
      <c r="EI97" s="191"/>
      <c r="EJ97" s="191"/>
      <c r="EK97" s="600"/>
      <c r="EL97" s="191"/>
      <c r="EM97" s="191"/>
      <c r="EN97" s="191"/>
      <c r="EO97" s="191"/>
      <c r="EP97" s="191"/>
      <c r="EQ97" s="600"/>
      <c r="ER97" s="191"/>
      <c r="ES97" s="191"/>
      <c r="ET97" s="191"/>
      <c r="EU97" s="191"/>
      <c r="EV97" s="191"/>
      <c r="EW97" s="600"/>
      <c r="EX97" s="191"/>
      <c r="EY97" s="191"/>
      <c r="EZ97" s="191"/>
      <c r="FA97" s="191"/>
      <c r="FB97" s="191"/>
      <c r="FC97" s="600"/>
      <c r="FD97" s="191"/>
      <c r="FE97" s="191"/>
      <c r="FF97" s="191"/>
      <c r="FG97" s="191"/>
      <c r="FH97" s="191"/>
      <c r="FI97" s="600"/>
      <c r="FJ97" s="191"/>
      <c r="FK97" s="191"/>
      <c r="FL97" s="191"/>
      <c r="FM97" s="191"/>
      <c r="FN97" s="191"/>
      <c r="FO97" s="600"/>
      <c r="FP97" s="191"/>
      <c r="FQ97" s="191"/>
      <c r="FR97" s="191"/>
      <c r="FS97" s="191"/>
      <c r="FT97" s="191"/>
      <c r="FU97" s="600"/>
      <c r="FV97" s="191"/>
      <c r="FW97" s="191"/>
      <c r="FX97" s="191"/>
      <c r="FY97" s="191"/>
      <c r="FZ97" s="191"/>
      <c r="GA97" s="600"/>
      <c r="GB97" s="191"/>
      <c r="GC97" s="191"/>
      <c r="GD97" s="191"/>
      <c r="GE97" s="191"/>
      <c r="GF97" s="191"/>
      <c r="GG97" s="600"/>
      <c r="GH97" s="191"/>
      <c r="GI97" s="191"/>
      <c r="GJ97" s="191"/>
      <c r="GK97" s="191"/>
      <c r="GL97" s="191"/>
      <c r="GM97" s="600"/>
      <c r="GN97" s="191"/>
      <c r="GO97" s="191"/>
      <c r="GP97" s="191"/>
      <c r="GQ97" s="191"/>
      <c r="GR97" s="191"/>
      <c r="GS97" s="600"/>
      <c r="GT97" s="191"/>
      <c r="GU97" s="191"/>
      <c r="GV97" s="191"/>
      <c r="GW97" s="191"/>
      <c r="GX97" s="191"/>
      <c r="GY97" s="600"/>
      <c r="GZ97" s="191"/>
      <c r="HA97" s="191"/>
      <c r="HB97" s="191"/>
      <c r="HC97" s="191"/>
      <c r="HD97" s="191"/>
      <c r="HE97" s="600"/>
      <c r="HF97" s="191"/>
      <c r="HG97" s="191"/>
      <c r="HH97" s="191"/>
      <c r="HI97" s="191"/>
      <c r="HJ97" s="191"/>
      <c r="HK97" s="600"/>
      <c r="HL97" s="191"/>
      <c r="HM97" s="191"/>
      <c r="HN97" s="191"/>
      <c r="HO97" s="191"/>
      <c r="HP97" s="191"/>
      <c r="HQ97" s="600"/>
      <c r="HR97" s="191"/>
      <c r="HS97" s="191"/>
      <c r="HT97" s="191"/>
      <c r="HU97" s="191"/>
      <c r="HV97" s="191"/>
      <c r="HW97" s="600"/>
      <c r="HX97" s="191"/>
      <c r="HY97" s="191"/>
      <c r="HZ97" s="191"/>
      <c r="IA97" s="191"/>
      <c r="IB97" s="191"/>
      <c r="IC97" s="600"/>
      <c r="ID97" s="191"/>
      <c r="IE97" s="191"/>
      <c r="IF97" s="191"/>
      <c r="IG97" s="191"/>
      <c r="IH97" s="191"/>
      <c r="II97" s="600"/>
      <c r="IJ97" s="191"/>
      <c r="IK97" s="191"/>
      <c r="IL97" s="191"/>
      <c r="IM97" s="191"/>
      <c r="IN97" s="191"/>
      <c r="IO97" s="600"/>
      <c r="IP97" s="191"/>
      <c r="IQ97" s="191"/>
      <c r="IR97" s="191"/>
      <c r="IS97" s="191"/>
      <c r="IT97" s="191"/>
      <c r="IU97" s="600"/>
      <c r="IV97" s="191"/>
    </row>
    <row r="98" spans="1:256" ht="15">
      <c r="A98" s="644"/>
      <c r="B98" s="191"/>
      <c r="C98" s="600"/>
      <c r="D98" s="191"/>
      <c r="E98" s="191"/>
      <c r="F98" s="672"/>
      <c r="G98" s="191"/>
      <c r="H98" s="191"/>
      <c r="I98" s="600"/>
      <c r="J98" s="191"/>
      <c r="K98" s="191"/>
      <c r="L98" s="82"/>
      <c r="M98" s="82"/>
      <c r="N98" s="191"/>
      <c r="O98" s="600"/>
      <c r="P98" s="191"/>
      <c r="Q98" s="643"/>
      <c r="R98" s="191"/>
      <c r="S98" s="191"/>
      <c r="T98" s="191"/>
      <c r="U98" s="600"/>
      <c r="V98" s="191"/>
      <c r="W98" s="191"/>
      <c r="X98" s="191"/>
      <c r="Y98" s="191"/>
      <c r="Z98" s="191"/>
      <c r="AA98" s="600"/>
      <c r="AB98" s="191"/>
      <c r="AC98" s="191"/>
      <c r="AD98" s="191"/>
      <c r="AE98" s="191"/>
      <c r="AF98" s="191"/>
      <c r="AG98" s="600"/>
      <c r="AH98" s="191"/>
      <c r="AI98" s="191"/>
      <c r="AJ98" s="191"/>
      <c r="AK98" s="191"/>
      <c r="AL98" s="191"/>
      <c r="AM98" s="600"/>
      <c r="AN98" s="191"/>
      <c r="AO98" s="191"/>
      <c r="AP98" s="191"/>
      <c r="AQ98" s="191"/>
      <c r="AR98" s="191"/>
      <c r="AS98" s="600"/>
      <c r="AT98" s="191"/>
      <c r="AU98" s="191"/>
      <c r="AV98" s="191"/>
      <c r="AW98" s="191"/>
      <c r="AX98" s="191"/>
      <c r="AY98" s="600"/>
      <c r="AZ98" s="191"/>
      <c r="BA98" s="191"/>
      <c r="BB98" s="191"/>
      <c r="BC98" s="191"/>
      <c r="BD98" s="191"/>
      <c r="BE98" s="600"/>
      <c r="BF98" s="191"/>
      <c r="BG98" s="191"/>
      <c r="BH98" s="191"/>
      <c r="BI98" s="191"/>
      <c r="BJ98" s="191"/>
      <c r="BK98" s="600"/>
      <c r="BL98" s="191"/>
      <c r="BM98" s="191"/>
      <c r="BN98" s="191"/>
      <c r="BO98" s="191"/>
      <c r="BP98" s="191"/>
      <c r="BQ98" s="600"/>
      <c r="BR98" s="191"/>
      <c r="BS98" s="191"/>
      <c r="BT98" s="191"/>
      <c r="BU98" s="191"/>
      <c r="BV98" s="191"/>
      <c r="BW98" s="600"/>
      <c r="BX98" s="191"/>
      <c r="BY98" s="191"/>
      <c r="BZ98" s="191"/>
      <c r="CA98" s="191"/>
      <c r="CB98" s="191"/>
      <c r="CC98" s="600"/>
      <c r="CD98" s="191"/>
      <c r="CE98" s="191"/>
      <c r="CF98" s="191"/>
      <c r="CG98" s="191"/>
      <c r="CH98" s="191"/>
      <c r="CI98" s="600"/>
      <c r="CJ98" s="191"/>
      <c r="CK98" s="191"/>
      <c r="CL98" s="191"/>
      <c r="CM98" s="191"/>
      <c r="CN98" s="191"/>
      <c r="CO98" s="600"/>
      <c r="CP98" s="191"/>
      <c r="CQ98" s="191"/>
      <c r="CR98" s="191"/>
      <c r="CS98" s="191"/>
      <c r="CT98" s="191"/>
      <c r="CU98" s="600"/>
      <c r="CV98" s="191"/>
      <c r="CW98" s="191"/>
      <c r="CX98" s="191"/>
      <c r="CY98" s="191"/>
      <c r="CZ98" s="191"/>
      <c r="DA98" s="600"/>
      <c r="DB98" s="191"/>
      <c r="DC98" s="191"/>
      <c r="DD98" s="191"/>
      <c r="DE98" s="191"/>
      <c r="DF98" s="191"/>
      <c r="DG98" s="600"/>
      <c r="DH98" s="191"/>
      <c r="DI98" s="191"/>
      <c r="DJ98" s="191"/>
      <c r="DK98" s="191"/>
      <c r="DL98" s="191"/>
      <c r="DM98" s="600"/>
      <c r="DN98" s="191"/>
      <c r="DO98" s="191"/>
      <c r="DP98" s="191"/>
      <c r="DQ98" s="191"/>
      <c r="DR98" s="191"/>
      <c r="DS98" s="600"/>
      <c r="DT98" s="191"/>
      <c r="DU98" s="191"/>
      <c r="DV98" s="191"/>
      <c r="DW98" s="191"/>
      <c r="DX98" s="191"/>
      <c r="DY98" s="600"/>
      <c r="DZ98" s="191"/>
      <c r="EA98" s="191"/>
      <c r="EB98" s="191"/>
      <c r="EC98" s="191"/>
      <c r="ED98" s="191"/>
      <c r="EE98" s="600"/>
      <c r="EF98" s="191"/>
      <c r="EG98" s="191"/>
      <c r="EH98" s="191"/>
      <c r="EI98" s="191"/>
      <c r="EJ98" s="191"/>
      <c r="EK98" s="600"/>
      <c r="EL98" s="191"/>
      <c r="EM98" s="191"/>
      <c r="EN98" s="191"/>
      <c r="EO98" s="191"/>
      <c r="EP98" s="191"/>
      <c r="EQ98" s="600"/>
      <c r="ER98" s="191"/>
      <c r="ES98" s="191"/>
      <c r="ET98" s="191"/>
      <c r="EU98" s="191"/>
      <c r="EV98" s="191"/>
      <c r="EW98" s="600"/>
      <c r="EX98" s="191"/>
      <c r="EY98" s="191"/>
      <c r="EZ98" s="191"/>
      <c r="FA98" s="191"/>
      <c r="FB98" s="191"/>
      <c r="FC98" s="600"/>
      <c r="FD98" s="191"/>
      <c r="FE98" s="191"/>
      <c r="FF98" s="191"/>
      <c r="FG98" s="191"/>
      <c r="FH98" s="191"/>
      <c r="FI98" s="600"/>
      <c r="FJ98" s="191"/>
      <c r="FK98" s="191"/>
      <c r="FL98" s="191"/>
      <c r="FM98" s="191"/>
      <c r="FN98" s="191"/>
      <c r="FO98" s="600"/>
      <c r="FP98" s="191"/>
      <c r="FQ98" s="191"/>
      <c r="FR98" s="191"/>
      <c r="FS98" s="191"/>
      <c r="FT98" s="191"/>
      <c r="FU98" s="600"/>
      <c r="FV98" s="191"/>
      <c r="FW98" s="191"/>
      <c r="FX98" s="191"/>
      <c r="FY98" s="191"/>
      <c r="FZ98" s="191"/>
      <c r="GA98" s="600"/>
      <c r="GB98" s="191"/>
      <c r="GC98" s="191"/>
      <c r="GD98" s="191"/>
      <c r="GE98" s="191"/>
      <c r="GF98" s="191"/>
      <c r="GG98" s="600"/>
      <c r="GH98" s="191"/>
      <c r="GI98" s="191"/>
      <c r="GJ98" s="191"/>
      <c r="GK98" s="191"/>
      <c r="GL98" s="191"/>
      <c r="GM98" s="600"/>
      <c r="GN98" s="191"/>
      <c r="GO98" s="191"/>
      <c r="GP98" s="191"/>
      <c r="GQ98" s="191"/>
      <c r="GR98" s="191"/>
      <c r="GS98" s="600"/>
      <c r="GT98" s="191"/>
      <c r="GU98" s="191"/>
      <c r="GV98" s="191"/>
      <c r="GW98" s="191"/>
      <c r="GX98" s="191"/>
      <c r="GY98" s="600"/>
      <c r="GZ98" s="191"/>
      <c r="HA98" s="191"/>
      <c r="HB98" s="191"/>
      <c r="HC98" s="191"/>
      <c r="HD98" s="191"/>
      <c r="HE98" s="600"/>
      <c r="HF98" s="191"/>
      <c r="HG98" s="191"/>
      <c r="HH98" s="191"/>
      <c r="HI98" s="191"/>
      <c r="HJ98" s="191"/>
      <c r="HK98" s="600"/>
      <c r="HL98" s="191"/>
      <c r="HM98" s="191"/>
      <c r="HN98" s="191"/>
      <c r="HO98" s="191"/>
      <c r="HP98" s="191"/>
      <c r="HQ98" s="600"/>
      <c r="HR98" s="191"/>
      <c r="HS98" s="191"/>
      <c r="HT98" s="191"/>
      <c r="HU98" s="191"/>
      <c r="HV98" s="191"/>
      <c r="HW98" s="600"/>
      <c r="HX98" s="191"/>
      <c r="HY98" s="191"/>
      <c r="HZ98" s="191"/>
      <c r="IA98" s="191"/>
      <c r="IB98" s="191"/>
      <c r="IC98" s="600"/>
      <c r="ID98" s="191"/>
      <c r="IE98" s="191"/>
      <c r="IF98" s="191"/>
      <c r="IG98" s="191"/>
      <c r="IH98" s="191"/>
      <c r="II98" s="600"/>
      <c r="IJ98" s="191"/>
      <c r="IK98" s="191"/>
      <c r="IL98" s="191"/>
      <c r="IM98" s="191"/>
      <c r="IN98" s="191"/>
      <c r="IO98" s="600"/>
      <c r="IP98" s="191"/>
      <c r="IQ98" s="191"/>
      <c r="IR98" s="191"/>
      <c r="IS98" s="191"/>
      <c r="IT98" s="191"/>
      <c r="IU98" s="600"/>
      <c r="IV98" s="191"/>
    </row>
    <row r="99" spans="1:256" ht="15">
      <c r="A99" s="644">
        <f>'Appendix A'!A94</f>
        <v>47</v>
      </c>
      <c r="B99" s="191"/>
      <c r="C99" s="600" t="str">
        <f>'Appendix A'!C94</f>
        <v>Transmission O&amp;M</v>
      </c>
      <c r="D99" s="191"/>
      <c r="E99" s="645"/>
      <c r="F99" s="662" t="s">
        <v>300</v>
      </c>
      <c r="G99" s="948">
        <v>141493189</v>
      </c>
      <c r="H99" s="934">
        <v>341775</v>
      </c>
      <c r="I99" s="938">
        <f>G99-H99</f>
        <v>141151414</v>
      </c>
      <c r="J99" s="1151" t="s">
        <v>0</v>
      </c>
      <c r="K99" s="1151"/>
      <c r="L99" s="1151"/>
      <c r="M99" s="1151"/>
      <c r="N99" s="1151"/>
      <c r="O99" s="1151"/>
      <c r="P99" s="1151"/>
      <c r="Q99" s="1152"/>
      <c r="R99" s="191"/>
      <c r="S99" s="869"/>
      <c r="T99" s="191"/>
      <c r="U99" s="600"/>
      <c r="V99" s="191"/>
      <c r="W99" s="191"/>
      <c r="X99" s="191"/>
      <c r="Y99" s="191"/>
      <c r="Z99" s="191"/>
      <c r="AA99" s="600"/>
      <c r="AB99" s="191"/>
      <c r="AC99" s="191"/>
      <c r="AD99" s="191"/>
      <c r="AE99" s="191"/>
      <c r="AF99" s="191"/>
      <c r="AG99" s="600"/>
      <c r="AH99" s="191"/>
      <c r="AI99" s="191"/>
      <c r="AJ99" s="191"/>
      <c r="AK99" s="191"/>
      <c r="AL99" s="191"/>
      <c r="AM99" s="600"/>
      <c r="AN99" s="191"/>
      <c r="AO99" s="191"/>
      <c r="AP99" s="191"/>
      <c r="AQ99" s="191"/>
      <c r="AR99" s="191"/>
      <c r="AS99" s="600"/>
      <c r="AT99" s="191"/>
      <c r="AU99" s="191"/>
      <c r="AV99" s="191"/>
      <c r="AW99" s="191"/>
      <c r="AX99" s="191"/>
      <c r="AY99" s="600"/>
      <c r="AZ99" s="191"/>
      <c r="BA99" s="191"/>
      <c r="BB99" s="191"/>
      <c r="BC99" s="191"/>
      <c r="BD99" s="191"/>
      <c r="BE99" s="600"/>
      <c r="BF99" s="191"/>
      <c r="BG99" s="191"/>
      <c r="BH99" s="191"/>
      <c r="BI99" s="191"/>
      <c r="BJ99" s="191"/>
      <c r="BK99" s="600"/>
      <c r="BL99" s="191"/>
      <c r="BM99" s="191"/>
      <c r="BN99" s="191"/>
      <c r="BO99" s="191"/>
      <c r="BP99" s="191"/>
      <c r="BQ99" s="600"/>
      <c r="BR99" s="191"/>
      <c r="BS99" s="191"/>
      <c r="BT99" s="191"/>
      <c r="BU99" s="191"/>
      <c r="BV99" s="191"/>
      <c r="BW99" s="600"/>
      <c r="BX99" s="191"/>
      <c r="BY99" s="191"/>
      <c r="BZ99" s="191"/>
      <c r="CA99" s="191"/>
      <c r="CB99" s="191"/>
      <c r="CC99" s="600"/>
      <c r="CD99" s="191"/>
      <c r="CE99" s="191"/>
      <c r="CF99" s="191"/>
      <c r="CG99" s="191"/>
      <c r="CH99" s="191"/>
      <c r="CI99" s="600"/>
      <c r="CJ99" s="191"/>
      <c r="CK99" s="191"/>
      <c r="CL99" s="191"/>
      <c r="CM99" s="191"/>
      <c r="CN99" s="191"/>
      <c r="CO99" s="600"/>
      <c r="CP99" s="191"/>
      <c r="CQ99" s="191"/>
      <c r="CR99" s="191"/>
      <c r="CS99" s="191"/>
      <c r="CT99" s="191"/>
      <c r="CU99" s="600"/>
      <c r="CV99" s="191"/>
      <c r="CW99" s="191"/>
      <c r="CX99" s="191"/>
      <c r="CY99" s="191"/>
      <c r="CZ99" s="191"/>
      <c r="DA99" s="600"/>
      <c r="DB99" s="191"/>
      <c r="DC99" s="191"/>
      <c r="DD99" s="191"/>
      <c r="DE99" s="191"/>
      <c r="DF99" s="191"/>
      <c r="DG99" s="600"/>
      <c r="DH99" s="191"/>
      <c r="DI99" s="191"/>
      <c r="DJ99" s="191"/>
      <c r="DK99" s="191"/>
      <c r="DL99" s="191"/>
      <c r="DM99" s="600"/>
      <c r="DN99" s="191"/>
      <c r="DO99" s="191"/>
      <c r="DP99" s="191"/>
      <c r="DQ99" s="191"/>
      <c r="DR99" s="191"/>
      <c r="DS99" s="600"/>
      <c r="DT99" s="191"/>
      <c r="DU99" s="191"/>
      <c r="DV99" s="191"/>
      <c r="DW99" s="191"/>
      <c r="DX99" s="191"/>
      <c r="DY99" s="600"/>
      <c r="DZ99" s="191"/>
      <c r="EA99" s="191"/>
      <c r="EB99" s="191"/>
      <c r="EC99" s="191"/>
      <c r="ED99" s="191"/>
      <c r="EE99" s="600"/>
      <c r="EF99" s="191"/>
      <c r="EG99" s="191"/>
      <c r="EH99" s="191"/>
      <c r="EI99" s="191"/>
      <c r="EJ99" s="191"/>
      <c r="EK99" s="600"/>
      <c r="EL99" s="191"/>
      <c r="EM99" s="191"/>
      <c r="EN99" s="191"/>
      <c r="EO99" s="191"/>
      <c r="EP99" s="191"/>
      <c r="EQ99" s="600"/>
      <c r="ER99" s="191"/>
      <c r="ES99" s="191"/>
      <c r="ET99" s="191"/>
      <c r="EU99" s="191"/>
      <c r="EV99" s="191"/>
      <c r="EW99" s="600"/>
      <c r="EX99" s="191"/>
      <c r="EY99" s="191"/>
      <c r="EZ99" s="191"/>
      <c r="FA99" s="191"/>
      <c r="FB99" s="191"/>
      <c r="FC99" s="600"/>
      <c r="FD99" s="191"/>
      <c r="FE99" s="191"/>
      <c r="FF99" s="191"/>
      <c r="FG99" s="191"/>
      <c r="FH99" s="191"/>
      <c r="FI99" s="600"/>
      <c r="FJ99" s="191"/>
      <c r="FK99" s="191"/>
      <c r="FL99" s="191"/>
      <c r="FM99" s="191"/>
      <c r="FN99" s="191"/>
      <c r="FO99" s="600"/>
      <c r="FP99" s="191"/>
      <c r="FQ99" s="191"/>
      <c r="FR99" s="191"/>
      <c r="FS99" s="191"/>
      <c r="FT99" s="191"/>
      <c r="FU99" s="600"/>
      <c r="FV99" s="191"/>
      <c r="FW99" s="191"/>
      <c r="FX99" s="191"/>
      <c r="FY99" s="191"/>
      <c r="FZ99" s="191"/>
      <c r="GA99" s="600"/>
      <c r="GB99" s="191"/>
      <c r="GC99" s="191"/>
      <c r="GD99" s="191"/>
      <c r="GE99" s="191"/>
      <c r="GF99" s="191"/>
      <c r="GG99" s="600"/>
      <c r="GH99" s="191"/>
      <c r="GI99" s="191"/>
      <c r="GJ99" s="191"/>
      <c r="GK99" s="191"/>
      <c r="GL99" s="191"/>
      <c r="GM99" s="600"/>
      <c r="GN99" s="191"/>
      <c r="GO99" s="191"/>
      <c r="GP99" s="191"/>
      <c r="GQ99" s="191"/>
      <c r="GR99" s="191"/>
      <c r="GS99" s="600"/>
      <c r="GT99" s="191"/>
      <c r="GU99" s="191"/>
      <c r="GV99" s="191"/>
      <c r="GW99" s="191"/>
      <c r="GX99" s="191"/>
      <c r="GY99" s="600"/>
      <c r="GZ99" s="191"/>
      <c r="HA99" s="191"/>
      <c r="HB99" s="191"/>
      <c r="HC99" s="191"/>
      <c r="HD99" s="191"/>
      <c r="HE99" s="600"/>
      <c r="HF99" s="191"/>
      <c r="HG99" s="191"/>
      <c r="HH99" s="191"/>
      <c r="HI99" s="191"/>
      <c r="HJ99" s="191"/>
      <c r="HK99" s="600"/>
      <c r="HL99" s="191"/>
      <c r="HM99" s="191"/>
      <c r="HN99" s="191"/>
      <c r="HO99" s="191"/>
      <c r="HP99" s="191"/>
      <c r="HQ99" s="600"/>
      <c r="HR99" s="191"/>
      <c r="HS99" s="191"/>
      <c r="HT99" s="191"/>
      <c r="HU99" s="191"/>
      <c r="HV99" s="191"/>
      <c r="HW99" s="600"/>
      <c r="HX99" s="191"/>
      <c r="HY99" s="191"/>
      <c r="HZ99" s="191"/>
      <c r="IA99" s="191"/>
      <c r="IB99" s="191"/>
      <c r="IC99" s="600"/>
      <c r="ID99" s="191"/>
      <c r="IE99" s="191"/>
      <c r="IF99" s="191"/>
      <c r="IG99" s="191"/>
      <c r="IH99" s="191"/>
      <c r="II99" s="600"/>
      <c r="IJ99" s="191"/>
      <c r="IK99" s="191"/>
      <c r="IL99" s="191"/>
      <c r="IM99" s="191"/>
      <c r="IN99" s="191"/>
      <c r="IO99" s="600"/>
      <c r="IP99" s="191"/>
      <c r="IQ99" s="191"/>
      <c r="IR99" s="191"/>
      <c r="IS99" s="191"/>
      <c r="IT99" s="191"/>
      <c r="IU99" s="600"/>
      <c r="IV99" s="191"/>
    </row>
    <row r="100" spans="1:256" ht="15">
      <c r="A100" s="644"/>
      <c r="B100" s="191"/>
      <c r="C100" s="600"/>
      <c r="D100" s="191"/>
      <c r="E100" s="645"/>
      <c r="F100" s="662"/>
      <c r="G100" s="948"/>
      <c r="H100" s="934"/>
      <c r="I100" s="938"/>
      <c r="J100" s="782"/>
      <c r="K100" s="783"/>
      <c r="L100" s="783"/>
      <c r="M100" s="783"/>
      <c r="N100" s="783"/>
      <c r="O100" s="783"/>
      <c r="P100" s="783"/>
      <c r="Q100" s="784"/>
      <c r="R100" s="191"/>
      <c r="S100" s="191"/>
      <c r="T100" s="191"/>
      <c r="U100" s="600"/>
      <c r="V100" s="191"/>
      <c r="W100" s="191"/>
      <c r="X100" s="191"/>
      <c r="Y100" s="191"/>
      <c r="Z100" s="191"/>
      <c r="AA100" s="600"/>
      <c r="AB100" s="191"/>
      <c r="AC100" s="191"/>
      <c r="AD100" s="191"/>
      <c r="AE100" s="191"/>
      <c r="AF100" s="191"/>
      <c r="AG100" s="600"/>
      <c r="AH100" s="191"/>
      <c r="AI100" s="191"/>
      <c r="AJ100" s="191"/>
      <c r="AK100" s="191"/>
      <c r="AL100" s="191"/>
      <c r="AM100" s="600"/>
      <c r="AN100" s="191"/>
      <c r="AO100" s="191"/>
      <c r="AP100" s="191"/>
      <c r="AQ100" s="191"/>
      <c r="AR100" s="191"/>
      <c r="AS100" s="600"/>
      <c r="AT100" s="191"/>
      <c r="AU100" s="191"/>
      <c r="AV100" s="191"/>
      <c r="AW100" s="191"/>
      <c r="AX100" s="191"/>
      <c r="AY100" s="600"/>
      <c r="AZ100" s="191"/>
      <c r="BA100" s="191"/>
      <c r="BB100" s="191"/>
      <c r="BC100" s="191"/>
      <c r="BD100" s="191"/>
      <c r="BE100" s="600"/>
      <c r="BF100" s="191"/>
      <c r="BG100" s="191"/>
      <c r="BH100" s="191"/>
      <c r="BI100" s="191"/>
      <c r="BJ100" s="191"/>
      <c r="BK100" s="600"/>
      <c r="BL100" s="191"/>
      <c r="BM100" s="191"/>
      <c r="BN100" s="191"/>
      <c r="BO100" s="191"/>
      <c r="BP100" s="191"/>
      <c r="BQ100" s="600"/>
      <c r="BR100" s="191"/>
      <c r="BS100" s="191"/>
      <c r="BT100" s="191"/>
      <c r="BU100" s="191"/>
      <c r="BV100" s="191"/>
      <c r="BW100" s="600"/>
      <c r="BX100" s="191"/>
      <c r="BY100" s="191"/>
      <c r="BZ100" s="191"/>
      <c r="CA100" s="191"/>
      <c r="CB100" s="191"/>
      <c r="CC100" s="600"/>
      <c r="CD100" s="191"/>
      <c r="CE100" s="191"/>
      <c r="CF100" s="191"/>
      <c r="CG100" s="191"/>
      <c r="CH100" s="191"/>
      <c r="CI100" s="600"/>
      <c r="CJ100" s="191"/>
      <c r="CK100" s="191"/>
      <c r="CL100" s="191"/>
      <c r="CM100" s="191"/>
      <c r="CN100" s="191"/>
      <c r="CO100" s="600"/>
      <c r="CP100" s="191"/>
      <c r="CQ100" s="191"/>
      <c r="CR100" s="191"/>
      <c r="CS100" s="191"/>
      <c r="CT100" s="191"/>
      <c r="CU100" s="600"/>
      <c r="CV100" s="191"/>
      <c r="CW100" s="191"/>
      <c r="CX100" s="191"/>
      <c r="CY100" s="191"/>
      <c r="CZ100" s="191"/>
      <c r="DA100" s="600"/>
      <c r="DB100" s="191"/>
      <c r="DC100" s="191"/>
      <c r="DD100" s="191"/>
      <c r="DE100" s="191"/>
      <c r="DF100" s="191"/>
      <c r="DG100" s="600"/>
      <c r="DH100" s="191"/>
      <c r="DI100" s="191"/>
      <c r="DJ100" s="191"/>
      <c r="DK100" s="191"/>
      <c r="DL100" s="191"/>
      <c r="DM100" s="600"/>
      <c r="DN100" s="191"/>
      <c r="DO100" s="191"/>
      <c r="DP100" s="191"/>
      <c r="DQ100" s="191"/>
      <c r="DR100" s="191"/>
      <c r="DS100" s="600"/>
      <c r="DT100" s="191"/>
      <c r="DU100" s="191"/>
      <c r="DV100" s="191"/>
      <c r="DW100" s="191"/>
      <c r="DX100" s="191"/>
      <c r="DY100" s="600"/>
      <c r="DZ100" s="191"/>
      <c r="EA100" s="191"/>
      <c r="EB100" s="191"/>
      <c r="EC100" s="191"/>
      <c r="ED100" s="191"/>
      <c r="EE100" s="600"/>
      <c r="EF100" s="191"/>
      <c r="EG100" s="191"/>
      <c r="EH100" s="191"/>
      <c r="EI100" s="191"/>
      <c r="EJ100" s="191"/>
      <c r="EK100" s="600"/>
      <c r="EL100" s="191"/>
      <c r="EM100" s="191"/>
      <c r="EN100" s="191"/>
      <c r="EO100" s="191"/>
      <c r="EP100" s="191"/>
      <c r="EQ100" s="600"/>
      <c r="ER100" s="191"/>
      <c r="ES100" s="191"/>
      <c r="ET100" s="191"/>
      <c r="EU100" s="191"/>
      <c r="EV100" s="191"/>
      <c r="EW100" s="600"/>
      <c r="EX100" s="191"/>
      <c r="EY100" s="191"/>
      <c r="EZ100" s="191"/>
      <c r="FA100" s="191"/>
      <c r="FB100" s="191"/>
      <c r="FC100" s="600"/>
      <c r="FD100" s="191"/>
      <c r="FE100" s="191"/>
      <c r="FF100" s="191"/>
      <c r="FG100" s="191"/>
      <c r="FH100" s="191"/>
      <c r="FI100" s="600"/>
      <c r="FJ100" s="191"/>
      <c r="FK100" s="191"/>
      <c r="FL100" s="191"/>
      <c r="FM100" s="191"/>
      <c r="FN100" s="191"/>
      <c r="FO100" s="600"/>
      <c r="FP100" s="191"/>
      <c r="FQ100" s="191"/>
      <c r="FR100" s="191"/>
      <c r="FS100" s="191"/>
      <c r="FT100" s="191"/>
      <c r="FU100" s="600"/>
      <c r="FV100" s="191"/>
      <c r="FW100" s="191"/>
      <c r="FX100" s="191"/>
      <c r="FY100" s="191"/>
      <c r="FZ100" s="191"/>
      <c r="GA100" s="600"/>
      <c r="GB100" s="191"/>
      <c r="GC100" s="191"/>
      <c r="GD100" s="191"/>
      <c r="GE100" s="191"/>
      <c r="GF100" s="191"/>
      <c r="GG100" s="600"/>
      <c r="GH100" s="191"/>
      <c r="GI100" s="191"/>
      <c r="GJ100" s="191"/>
      <c r="GK100" s="191"/>
      <c r="GL100" s="191"/>
      <c r="GM100" s="600"/>
      <c r="GN100" s="191"/>
      <c r="GO100" s="191"/>
      <c r="GP100" s="191"/>
      <c r="GQ100" s="191"/>
      <c r="GR100" s="191"/>
      <c r="GS100" s="600"/>
      <c r="GT100" s="191"/>
      <c r="GU100" s="191"/>
      <c r="GV100" s="191"/>
      <c r="GW100" s="191"/>
      <c r="GX100" s="191"/>
      <c r="GY100" s="600"/>
      <c r="GZ100" s="191"/>
      <c r="HA100" s="191"/>
      <c r="HB100" s="191"/>
      <c r="HC100" s="191"/>
      <c r="HD100" s="191"/>
      <c r="HE100" s="600"/>
      <c r="HF100" s="191"/>
      <c r="HG100" s="191"/>
      <c r="HH100" s="191"/>
      <c r="HI100" s="191"/>
      <c r="HJ100" s="191"/>
      <c r="HK100" s="600"/>
      <c r="HL100" s="191"/>
      <c r="HM100" s="191"/>
      <c r="HN100" s="191"/>
      <c r="HO100" s="191"/>
      <c r="HP100" s="191"/>
      <c r="HQ100" s="600"/>
      <c r="HR100" s="191"/>
      <c r="HS100" s="191"/>
      <c r="HT100" s="191"/>
      <c r="HU100" s="191"/>
      <c r="HV100" s="191"/>
      <c r="HW100" s="600"/>
      <c r="HX100" s="191"/>
      <c r="HY100" s="191"/>
      <c r="HZ100" s="191"/>
      <c r="IA100" s="191"/>
      <c r="IB100" s="191"/>
      <c r="IC100" s="600"/>
      <c r="ID100" s="191"/>
      <c r="IE100" s="191"/>
      <c r="IF100" s="191"/>
      <c r="IG100" s="191"/>
      <c r="IH100" s="191"/>
      <c r="II100" s="600"/>
      <c r="IJ100" s="191"/>
      <c r="IK100" s="191"/>
      <c r="IL100" s="191"/>
      <c r="IM100" s="191"/>
      <c r="IN100" s="191"/>
      <c r="IO100" s="600"/>
      <c r="IP100" s="191"/>
      <c r="IQ100" s="191"/>
      <c r="IR100" s="191"/>
      <c r="IS100" s="191"/>
      <c r="IT100" s="191"/>
      <c r="IU100" s="600"/>
      <c r="IV100" s="191"/>
    </row>
    <row r="101" spans="1:256" ht="13.5" customHeight="1">
      <c r="A101" s="644"/>
      <c r="B101" s="191"/>
      <c r="C101" s="600"/>
      <c r="D101" s="191"/>
      <c r="E101" s="645"/>
      <c r="F101" s="691"/>
      <c r="G101" s="948"/>
      <c r="H101" s="934"/>
      <c r="I101" s="949"/>
      <c r="J101" s="783"/>
      <c r="K101" s="783"/>
      <c r="L101" s="783"/>
      <c r="M101" s="783"/>
      <c r="N101" s="783"/>
      <c r="O101" s="783"/>
      <c r="P101" s="783"/>
      <c r="Q101" s="784"/>
      <c r="R101" s="191"/>
      <c r="S101" s="191"/>
      <c r="T101" s="191"/>
      <c r="U101" s="600"/>
      <c r="V101" s="191"/>
      <c r="W101" s="191"/>
      <c r="X101" s="191"/>
      <c r="Y101" s="191"/>
      <c r="Z101" s="191"/>
      <c r="AA101" s="600"/>
      <c r="AB101" s="191"/>
      <c r="AC101" s="191"/>
      <c r="AD101" s="191"/>
      <c r="AE101" s="191"/>
      <c r="AF101" s="191"/>
      <c r="AG101" s="600"/>
      <c r="AH101" s="191"/>
      <c r="AI101" s="191"/>
      <c r="AJ101" s="191"/>
      <c r="AK101" s="191"/>
      <c r="AL101" s="191"/>
      <c r="AM101" s="600"/>
      <c r="AN101" s="191"/>
      <c r="AO101" s="191"/>
      <c r="AP101" s="191"/>
      <c r="AQ101" s="191"/>
      <c r="AR101" s="191"/>
      <c r="AS101" s="600"/>
      <c r="AT101" s="191"/>
      <c r="AU101" s="191"/>
      <c r="AV101" s="191"/>
      <c r="AW101" s="191"/>
      <c r="AX101" s="191"/>
      <c r="AY101" s="600"/>
      <c r="AZ101" s="191"/>
      <c r="BA101" s="191"/>
      <c r="BB101" s="191"/>
      <c r="BC101" s="191"/>
      <c r="BD101" s="191"/>
      <c r="BE101" s="600"/>
      <c r="BF101" s="191"/>
      <c r="BG101" s="191"/>
      <c r="BH101" s="191"/>
      <c r="BI101" s="191"/>
      <c r="BJ101" s="191"/>
      <c r="BK101" s="600"/>
      <c r="BL101" s="191"/>
      <c r="BM101" s="191"/>
      <c r="BN101" s="191"/>
      <c r="BO101" s="191"/>
      <c r="BP101" s="191"/>
      <c r="BQ101" s="600"/>
      <c r="BR101" s="191"/>
      <c r="BS101" s="191"/>
      <c r="BT101" s="191"/>
      <c r="BU101" s="191"/>
      <c r="BV101" s="191"/>
      <c r="BW101" s="600"/>
      <c r="BX101" s="191"/>
      <c r="BY101" s="191"/>
      <c r="BZ101" s="191"/>
      <c r="CA101" s="191"/>
      <c r="CB101" s="191"/>
      <c r="CC101" s="600"/>
      <c r="CD101" s="191"/>
      <c r="CE101" s="191"/>
      <c r="CF101" s="191"/>
      <c r="CG101" s="191"/>
      <c r="CH101" s="191"/>
      <c r="CI101" s="600"/>
      <c r="CJ101" s="191"/>
      <c r="CK101" s="191"/>
      <c r="CL101" s="191"/>
      <c r="CM101" s="191"/>
      <c r="CN101" s="191"/>
      <c r="CO101" s="600"/>
      <c r="CP101" s="191"/>
      <c r="CQ101" s="191"/>
      <c r="CR101" s="191"/>
      <c r="CS101" s="191"/>
      <c r="CT101" s="191"/>
      <c r="CU101" s="600"/>
      <c r="CV101" s="191"/>
      <c r="CW101" s="191"/>
      <c r="CX101" s="191"/>
      <c r="CY101" s="191"/>
      <c r="CZ101" s="191"/>
      <c r="DA101" s="600"/>
      <c r="DB101" s="191"/>
      <c r="DC101" s="191"/>
      <c r="DD101" s="191"/>
      <c r="DE101" s="191"/>
      <c r="DF101" s="191"/>
      <c r="DG101" s="600"/>
      <c r="DH101" s="191"/>
      <c r="DI101" s="191"/>
      <c r="DJ101" s="191"/>
      <c r="DK101" s="191"/>
      <c r="DL101" s="191"/>
      <c r="DM101" s="600"/>
      <c r="DN101" s="191"/>
      <c r="DO101" s="191"/>
      <c r="DP101" s="191"/>
      <c r="DQ101" s="191"/>
      <c r="DR101" s="191"/>
      <c r="DS101" s="600"/>
      <c r="DT101" s="191"/>
      <c r="DU101" s="191"/>
      <c r="DV101" s="191"/>
      <c r="DW101" s="191"/>
      <c r="DX101" s="191"/>
      <c r="DY101" s="600"/>
      <c r="DZ101" s="191"/>
      <c r="EA101" s="191"/>
      <c r="EB101" s="191"/>
      <c r="EC101" s="191"/>
      <c r="ED101" s="191"/>
      <c r="EE101" s="600"/>
      <c r="EF101" s="191"/>
      <c r="EG101" s="191"/>
      <c r="EH101" s="191"/>
      <c r="EI101" s="191"/>
      <c r="EJ101" s="191"/>
      <c r="EK101" s="600"/>
      <c r="EL101" s="191"/>
      <c r="EM101" s="191"/>
      <c r="EN101" s="191"/>
      <c r="EO101" s="191"/>
      <c r="EP101" s="191"/>
      <c r="EQ101" s="600"/>
      <c r="ER101" s="191"/>
      <c r="ES101" s="191"/>
      <c r="ET101" s="191"/>
      <c r="EU101" s="191"/>
      <c r="EV101" s="191"/>
      <c r="EW101" s="600"/>
      <c r="EX101" s="191"/>
      <c r="EY101" s="191"/>
      <c r="EZ101" s="191"/>
      <c r="FA101" s="191"/>
      <c r="FB101" s="191"/>
      <c r="FC101" s="600"/>
      <c r="FD101" s="191"/>
      <c r="FE101" s="191"/>
      <c r="FF101" s="191"/>
      <c r="FG101" s="191"/>
      <c r="FH101" s="191"/>
      <c r="FI101" s="600"/>
      <c r="FJ101" s="191"/>
      <c r="FK101" s="191"/>
      <c r="FL101" s="191"/>
      <c r="FM101" s="191"/>
      <c r="FN101" s="191"/>
      <c r="FO101" s="600"/>
      <c r="FP101" s="191"/>
      <c r="FQ101" s="191"/>
      <c r="FR101" s="191"/>
      <c r="FS101" s="191"/>
      <c r="FT101" s="191"/>
      <c r="FU101" s="600"/>
      <c r="FV101" s="191"/>
      <c r="FW101" s="191"/>
      <c r="FX101" s="191"/>
      <c r="FY101" s="191"/>
      <c r="FZ101" s="191"/>
      <c r="GA101" s="600"/>
      <c r="GB101" s="191"/>
      <c r="GC101" s="191"/>
      <c r="GD101" s="191"/>
      <c r="GE101" s="191"/>
      <c r="GF101" s="191"/>
      <c r="GG101" s="600"/>
      <c r="GH101" s="191"/>
      <c r="GI101" s="191"/>
      <c r="GJ101" s="191"/>
      <c r="GK101" s="191"/>
      <c r="GL101" s="191"/>
      <c r="GM101" s="600"/>
      <c r="GN101" s="191"/>
      <c r="GO101" s="191"/>
      <c r="GP101" s="191"/>
      <c r="GQ101" s="191"/>
      <c r="GR101" s="191"/>
      <c r="GS101" s="600"/>
      <c r="GT101" s="191"/>
      <c r="GU101" s="191"/>
      <c r="GV101" s="191"/>
      <c r="GW101" s="191"/>
      <c r="GX101" s="191"/>
      <c r="GY101" s="600"/>
      <c r="GZ101" s="191"/>
      <c r="HA101" s="191"/>
      <c r="HB101" s="191"/>
      <c r="HC101" s="191"/>
      <c r="HD101" s="191"/>
      <c r="HE101" s="600"/>
      <c r="HF101" s="191"/>
      <c r="HG101" s="191"/>
      <c r="HH101" s="191"/>
      <c r="HI101" s="191"/>
      <c r="HJ101" s="191"/>
      <c r="HK101" s="600"/>
      <c r="HL101" s="191"/>
      <c r="HM101" s="191"/>
      <c r="HN101" s="191"/>
      <c r="HO101" s="191"/>
      <c r="HP101" s="191"/>
      <c r="HQ101" s="600"/>
      <c r="HR101" s="191"/>
      <c r="HS101" s="191"/>
      <c r="HT101" s="191"/>
      <c r="HU101" s="191"/>
      <c r="HV101" s="191"/>
      <c r="HW101" s="600"/>
      <c r="HX101" s="191"/>
      <c r="HY101" s="191"/>
      <c r="HZ101" s="191"/>
      <c r="IA101" s="191"/>
      <c r="IB101" s="191"/>
      <c r="IC101" s="600"/>
      <c r="ID101" s="191"/>
      <c r="IE101" s="191"/>
      <c r="IF101" s="191"/>
      <c r="IG101" s="191"/>
      <c r="IH101" s="191"/>
      <c r="II101" s="600"/>
      <c r="IJ101" s="191"/>
      <c r="IK101" s="191"/>
      <c r="IL101" s="191"/>
      <c r="IM101" s="191"/>
      <c r="IN101" s="191"/>
      <c r="IO101" s="600"/>
      <c r="IP101" s="191"/>
      <c r="IQ101" s="191"/>
      <c r="IR101" s="191"/>
      <c r="IS101" s="191"/>
      <c r="IT101" s="191"/>
      <c r="IU101" s="600"/>
      <c r="IV101" s="191"/>
    </row>
    <row r="102" spans="1:256" ht="13.5" customHeight="1">
      <c r="A102" s="644">
        <f>'Appendix A'!A95</f>
        <v>48</v>
      </c>
      <c r="B102" s="191"/>
      <c r="C102" s="600" t="str">
        <f>'Appendix A'!C95</f>
        <v>     Less Account 565</v>
      </c>
      <c r="D102" s="191"/>
      <c r="E102" s="645"/>
      <c r="F102" s="661" t="s">
        <v>301</v>
      </c>
      <c r="G102" s="948">
        <v>95373081</v>
      </c>
      <c r="H102" s="934">
        <v>0</v>
      </c>
      <c r="I102" s="938">
        <f>G102+H102</f>
        <v>95373081</v>
      </c>
      <c r="J102" s="1149" t="s">
        <v>627</v>
      </c>
      <c r="K102" s="1149"/>
      <c r="L102" s="1149"/>
      <c r="M102" s="1149"/>
      <c r="N102" s="1149"/>
      <c r="O102" s="1149"/>
      <c r="P102" s="1149"/>
      <c r="Q102" s="1150"/>
      <c r="R102" s="191"/>
      <c r="S102" s="191"/>
      <c r="T102" s="191"/>
      <c r="U102" s="600"/>
      <c r="V102" s="191"/>
      <c r="W102" s="191"/>
      <c r="X102" s="191"/>
      <c r="Y102" s="191"/>
      <c r="Z102" s="191"/>
      <c r="AA102" s="600"/>
      <c r="AB102" s="191"/>
      <c r="AC102" s="191"/>
      <c r="AD102" s="191"/>
      <c r="AE102" s="191"/>
      <c r="AF102" s="191"/>
      <c r="AG102" s="600"/>
      <c r="AH102" s="191"/>
      <c r="AI102" s="191"/>
      <c r="AJ102" s="191"/>
      <c r="AK102" s="191"/>
      <c r="AL102" s="191"/>
      <c r="AM102" s="600"/>
      <c r="AN102" s="191"/>
      <c r="AO102" s="191"/>
      <c r="AP102" s="191"/>
      <c r="AQ102" s="191"/>
      <c r="AR102" s="191"/>
      <c r="AS102" s="600"/>
      <c r="AT102" s="191"/>
      <c r="AU102" s="191"/>
      <c r="AV102" s="191"/>
      <c r="AW102" s="191"/>
      <c r="AX102" s="191"/>
      <c r="AY102" s="600"/>
      <c r="AZ102" s="191"/>
      <c r="BA102" s="191"/>
      <c r="BB102" s="191"/>
      <c r="BC102" s="191"/>
      <c r="BD102" s="191"/>
      <c r="BE102" s="600"/>
      <c r="BF102" s="191"/>
      <c r="BG102" s="191"/>
      <c r="BH102" s="191"/>
      <c r="BI102" s="191"/>
      <c r="BJ102" s="191"/>
      <c r="BK102" s="600"/>
      <c r="BL102" s="191"/>
      <c r="BM102" s="191"/>
      <c r="BN102" s="191"/>
      <c r="BO102" s="191"/>
      <c r="BP102" s="191"/>
      <c r="BQ102" s="600"/>
      <c r="BR102" s="191"/>
      <c r="BS102" s="191"/>
      <c r="BT102" s="191"/>
      <c r="BU102" s="191"/>
      <c r="BV102" s="191"/>
      <c r="BW102" s="600"/>
      <c r="BX102" s="191"/>
      <c r="BY102" s="191"/>
      <c r="BZ102" s="191"/>
      <c r="CA102" s="191"/>
      <c r="CB102" s="191"/>
      <c r="CC102" s="600"/>
      <c r="CD102" s="191"/>
      <c r="CE102" s="191"/>
      <c r="CF102" s="191"/>
      <c r="CG102" s="191"/>
      <c r="CH102" s="191"/>
      <c r="CI102" s="600"/>
      <c r="CJ102" s="191"/>
      <c r="CK102" s="191"/>
      <c r="CL102" s="191"/>
      <c r="CM102" s="191"/>
      <c r="CN102" s="191"/>
      <c r="CO102" s="600"/>
      <c r="CP102" s="191"/>
      <c r="CQ102" s="191"/>
      <c r="CR102" s="191"/>
      <c r="CS102" s="191"/>
      <c r="CT102" s="191"/>
      <c r="CU102" s="600"/>
      <c r="CV102" s="191"/>
      <c r="CW102" s="191"/>
      <c r="CX102" s="191"/>
      <c r="CY102" s="191"/>
      <c r="CZ102" s="191"/>
      <c r="DA102" s="600"/>
      <c r="DB102" s="191"/>
      <c r="DC102" s="191"/>
      <c r="DD102" s="191"/>
      <c r="DE102" s="191"/>
      <c r="DF102" s="191"/>
      <c r="DG102" s="600"/>
      <c r="DH102" s="191"/>
      <c r="DI102" s="191"/>
      <c r="DJ102" s="191"/>
      <c r="DK102" s="191"/>
      <c r="DL102" s="191"/>
      <c r="DM102" s="600"/>
      <c r="DN102" s="191"/>
      <c r="DO102" s="191"/>
      <c r="DP102" s="191"/>
      <c r="DQ102" s="191"/>
      <c r="DR102" s="191"/>
      <c r="DS102" s="600"/>
      <c r="DT102" s="191"/>
      <c r="DU102" s="191"/>
      <c r="DV102" s="191"/>
      <c r="DW102" s="191"/>
      <c r="DX102" s="191"/>
      <c r="DY102" s="600"/>
      <c r="DZ102" s="191"/>
      <c r="EA102" s="191"/>
      <c r="EB102" s="191"/>
      <c r="EC102" s="191"/>
      <c r="ED102" s="191"/>
      <c r="EE102" s="600"/>
      <c r="EF102" s="191"/>
      <c r="EG102" s="191"/>
      <c r="EH102" s="191"/>
      <c r="EI102" s="191"/>
      <c r="EJ102" s="191"/>
      <c r="EK102" s="600"/>
      <c r="EL102" s="191"/>
      <c r="EM102" s="191"/>
      <c r="EN102" s="191"/>
      <c r="EO102" s="191"/>
      <c r="EP102" s="191"/>
      <c r="EQ102" s="600"/>
      <c r="ER102" s="191"/>
      <c r="ES102" s="191"/>
      <c r="ET102" s="191"/>
      <c r="EU102" s="191"/>
      <c r="EV102" s="191"/>
      <c r="EW102" s="600"/>
      <c r="EX102" s="191"/>
      <c r="EY102" s="191"/>
      <c r="EZ102" s="191"/>
      <c r="FA102" s="191"/>
      <c r="FB102" s="191"/>
      <c r="FC102" s="600"/>
      <c r="FD102" s="191"/>
      <c r="FE102" s="191"/>
      <c r="FF102" s="191"/>
      <c r="FG102" s="191"/>
      <c r="FH102" s="191"/>
      <c r="FI102" s="600"/>
      <c r="FJ102" s="191"/>
      <c r="FK102" s="191"/>
      <c r="FL102" s="191"/>
      <c r="FM102" s="191"/>
      <c r="FN102" s="191"/>
      <c r="FO102" s="600"/>
      <c r="FP102" s="191"/>
      <c r="FQ102" s="191"/>
      <c r="FR102" s="191"/>
      <c r="FS102" s="191"/>
      <c r="FT102" s="191"/>
      <c r="FU102" s="600"/>
      <c r="FV102" s="191"/>
      <c r="FW102" s="191"/>
      <c r="FX102" s="191"/>
      <c r="FY102" s="191"/>
      <c r="FZ102" s="191"/>
      <c r="GA102" s="600"/>
      <c r="GB102" s="191"/>
      <c r="GC102" s="191"/>
      <c r="GD102" s="191"/>
      <c r="GE102" s="191"/>
      <c r="GF102" s="191"/>
      <c r="GG102" s="600"/>
      <c r="GH102" s="191"/>
      <c r="GI102" s="191"/>
      <c r="GJ102" s="191"/>
      <c r="GK102" s="191"/>
      <c r="GL102" s="191"/>
      <c r="GM102" s="600"/>
      <c r="GN102" s="191"/>
      <c r="GO102" s="191"/>
      <c r="GP102" s="191"/>
      <c r="GQ102" s="191"/>
      <c r="GR102" s="191"/>
      <c r="GS102" s="600"/>
      <c r="GT102" s="191"/>
      <c r="GU102" s="191"/>
      <c r="GV102" s="191"/>
      <c r="GW102" s="191"/>
      <c r="GX102" s="191"/>
      <c r="GY102" s="600"/>
      <c r="GZ102" s="191"/>
      <c r="HA102" s="191"/>
      <c r="HB102" s="191"/>
      <c r="HC102" s="191"/>
      <c r="HD102" s="191"/>
      <c r="HE102" s="600"/>
      <c r="HF102" s="191"/>
      <c r="HG102" s="191"/>
      <c r="HH102" s="191"/>
      <c r="HI102" s="191"/>
      <c r="HJ102" s="191"/>
      <c r="HK102" s="600"/>
      <c r="HL102" s="191"/>
      <c r="HM102" s="191"/>
      <c r="HN102" s="191"/>
      <c r="HO102" s="191"/>
      <c r="HP102" s="191"/>
      <c r="HQ102" s="600"/>
      <c r="HR102" s="191"/>
      <c r="HS102" s="191"/>
      <c r="HT102" s="191"/>
      <c r="HU102" s="191"/>
      <c r="HV102" s="191"/>
      <c r="HW102" s="600"/>
      <c r="HX102" s="191"/>
      <c r="HY102" s="191"/>
      <c r="HZ102" s="191"/>
      <c r="IA102" s="191"/>
      <c r="IB102" s="191"/>
      <c r="IC102" s="600"/>
      <c r="ID102" s="191"/>
      <c r="IE102" s="191"/>
      <c r="IF102" s="191"/>
      <c r="IG102" s="191"/>
      <c r="IH102" s="191"/>
      <c r="II102" s="600"/>
      <c r="IJ102" s="191"/>
      <c r="IK102" s="191"/>
      <c r="IL102" s="191"/>
      <c r="IM102" s="191"/>
      <c r="IN102" s="191"/>
      <c r="IO102" s="600"/>
      <c r="IP102" s="191"/>
      <c r="IQ102" s="191"/>
      <c r="IR102" s="191"/>
      <c r="IS102" s="191"/>
      <c r="IT102" s="191"/>
      <c r="IU102" s="600"/>
      <c r="IV102" s="191"/>
    </row>
    <row r="103" spans="1:256" ht="16.5" thickBot="1">
      <c r="A103" s="654"/>
      <c r="B103" s="669"/>
      <c r="C103" s="669"/>
      <c r="D103" s="669"/>
      <c r="E103" s="658"/>
      <c r="F103" s="689"/>
      <c r="G103" s="674"/>
      <c r="H103" s="674"/>
      <c r="I103" s="674"/>
      <c r="J103" s="785"/>
      <c r="K103" s="786"/>
      <c r="L103" s="785"/>
      <c r="M103" s="785"/>
      <c r="N103" s="785"/>
      <c r="O103" s="785"/>
      <c r="P103" s="785"/>
      <c r="Q103" s="787"/>
      <c r="R103" s="191"/>
      <c r="S103" s="191"/>
      <c r="T103" s="191"/>
      <c r="U103" s="600"/>
      <c r="V103" s="191"/>
      <c r="W103" s="191"/>
      <c r="X103" s="191"/>
      <c r="Y103" s="191"/>
      <c r="Z103" s="191"/>
      <c r="AA103" s="600"/>
      <c r="AB103" s="191"/>
      <c r="AC103" s="191"/>
      <c r="AD103" s="191"/>
      <c r="AE103" s="191"/>
      <c r="AF103" s="191"/>
      <c r="AG103" s="600"/>
      <c r="AH103" s="191"/>
      <c r="AI103" s="191"/>
      <c r="AJ103" s="191"/>
      <c r="AK103" s="191"/>
      <c r="AL103" s="191"/>
      <c r="AM103" s="600"/>
      <c r="AN103" s="191"/>
      <c r="AO103" s="191"/>
      <c r="AP103" s="191"/>
      <c r="AQ103" s="191"/>
      <c r="AR103" s="191"/>
      <c r="AS103" s="600"/>
      <c r="AT103" s="191"/>
      <c r="AU103" s="191"/>
      <c r="AV103" s="191"/>
      <c r="AW103" s="191"/>
      <c r="AX103" s="191"/>
      <c r="AY103" s="600"/>
      <c r="AZ103" s="191"/>
      <c r="BA103" s="191"/>
      <c r="BB103" s="191"/>
      <c r="BC103" s="191"/>
      <c r="BD103" s="191"/>
      <c r="BE103" s="600"/>
      <c r="BF103" s="191"/>
      <c r="BG103" s="191"/>
      <c r="BH103" s="191"/>
      <c r="BI103" s="191"/>
      <c r="BJ103" s="191"/>
      <c r="BK103" s="600"/>
      <c r="BL103" s="191"/>
      <c r="BM103" s="191"/>
      <c r="BN103" s="191"/>
      <c r="BO103" s="191"/>
      <c r="BP103" s="191"/>
      <c r="BQ103" s="600"/>
      <c r="BR103" s="191"/>
      <c r="BS103" s="191"/>
      <c r="BT103" s="191"/>
      <c r="BU103" s="191"/>
      <c r="BV103" s="191"/>
      <c r="BW103" s="600"/>
      <c r="BX103" s="191"/>
      <c r="BY103" s="191"/>
      <c r="BZ103" s="191"/>
      <c r="CA103" s="191"/>
      <c r="CB103" s="191"/>
      <c r="CC103" s="600"/>
      <c r="CD103" s="191"/>
      <c r="CE103" s="191"/>
      <c r="CF103" s="191"/>
      <c r="CG103" s="191"/>
      <c r="CH103" s="191"/>
      <c r="CI103" s="600"/>
      <c r="CJ103" s="191"/>
      <c r="CK103" s="191"/>
      <c r="CL103" s="191"/>
      <c r="CM103" s="191"/>
      <c r="CN103" s="191"/>
      <c r="CO103" s="600"/>
      <c r="CP103" s="191"/>
      <c r="CQ103" s="191"/>
      <c r="CR103" s="191"/>
      <c r="CS103" s="191"/>
      <c r="CT103" s="191"/>
      <c r="CU103" s="600"/>
      <c r="CV103" s="191"/>
      <c r="CW103" s="191"/>
      <c r="CX103" s="191"/>
      <c r="CY103" s="191"/>
      <c r="CZ103" s="191"/>
      <c r="DA103" s="600"/>
      <c r="DB103" s="191"/>
      <c r="DC103" s="191"/>
      <c r="DD103" s="191"/>
      <c r="DE103" s="191"/>
      <c r="DF103" s="191"/>
      <c r="DG103" s="600"/>
      <c r="DH103" s="191"/>
      <c r="DI103" s="191"/>
      <c r="DJ103" s="191"/>
      <c r="DK103" s="191"/>
      <c r="DL103" s="191"/>
      <c r="DM103" s="600"/>
      <c r="DN103" s="191"/>
      <c r="DO103" s="191"/>
      <c r="DP103" s="191"/>
      <c r="DQ103" s="191"/>
      <c r="DR103" s="191"/>
      <c r="DS103" s="600"/>
      <c r="DT103" s="191"/>
      <c r="DU103" s="191"/>
      <c r="DV103" s="191"/>
      <c r="DW103" s="191"/>
      <c r="DX103" s="191"/>
      <c r="DY103" s="600"/>
      <c r="DZ103" s="191"/>
      <c r="EA103" s="191"/>
      <c r="EB103" s="191"/>
      <c r="EC103" s="191"/>
      <c r="ED103" s="191"/>
      <c r="EE103" s="600"/>
      <c r="EF103" s="191"/>
      <c r="EG103" s="191"/>
      <c r="EH103" s="191"/>
      <c r="EI103" s="191"/>
      <c r="EJ103" s="191"/>
      <c r="EK103" s="600"/>
      <c r="EL103" s="191"/>
      <c r="EM103" s="191"/>
      <c r="EN103" s="191"/>
      <c r="EO103" s="191"/>
      <c r="EP103" s="191"/>
      <c r="EQ103" s="600"/>
      <c r="ER103" s="191"/>
      <c r="ES103" s="191"/>
      <c r="ET103" s="191"/>
      <c r="EU103" s="191"/>
      <c r="EV103" s="191"/>
      <c r="EW103" s="600"/>
      <c r="EX103" s="191"/>
      <c r="EY103" s="191"/>
      <c r="EZ103" s="191"/>
      <c r="FA103" s="191"/>
      <c r="FB103" s="191"/>
      <c r="FC103" s="600"/>
      <c r="FD103" s="191"/>
      <c r="FE103" s="191"/>
      <c r="FF103" s="191"/>
      <c r="FG103" s="191"/>
      <c r="FH103" s="191"/>
      <c r="FI103" s="600"/>
      <c r="FJ103" s="191"/>
      <c r="FK103" s="191"/>
      <c r="FL103" s="191"/>
      <c r="FM103" s="191"/>
      <c r="FN103" s="191"/>
      <c r="FO103" s="600"/>
      <c r="FP103" s="191"/>
      <c r="FQ103" s="191"/>
      <c r="FR103" s="191"/>
      <c r="FS103" s="191"/>
      <c r="FT103" s="191"/>
      <c r="FU103" s="600"/>
      <c r="FV103" s="191"/>
      <c r="FW103" s="191"/>
      <c r="FX103" s="191"/>
      <c r="FY103" s="191"/>
      <c r="FZ103" s="191"/>
      <c r="GA103" s="600"/>
      <c r="GB103" s="191"/>
      <c r="GC103" s="191"/>
      <c r="GD103" s="191"/>
      <c r="GE103" s="191"/>
      <c r="GF103" s="191"/>
      <c r="GG103" s="600"/>
      <c r="GH103" s="191"/>
      <c r="GI103" s="191"/>
      <c r="GJ103" s="191"/>
      <c r="GK103" s="191"/>
      <c r="GL103" s="191"/>
      <c r="GM103" s="600"/>
      <c r="GN103" s="191"/>
      <c r="GO103" s="191"/>
      <c r="GP103" s="191"/>
      <c r="GQ103" s="191"/>
      <c r="GR103" s="191"/>
      <c r="GS103" s="600"/>
      <c r="GT103" s="191"/>
      <c r="GU103" s="191"/>
      <c r="GV103" s="191"/>
      <c r="GW103" s="191"/>
      <c r="GX103" s="191"/>
      <c r="GY103" s="600"/>
      <c r="GZ103" s="191"/>
      <c r="HA103" s="191"/>
      <c r="HB103" s="191"/>
      <c r="HC103" s="191"/>
      <c r="HD103" s="191"/>
      <c r="HE103" s="600"/>
      <c r="HF103" s="191"/>
      <c r="HG103" s="191"/>
      <c r="HH103" s="191"/>
      <c r="HI103" s="191"/>
      <c r="HJ103" s="191"/>
      <c r="HK103" s="600"/>
      <c r="HL103" s="191"/>
      <c r="HM103" s="191"/>
      <c r="HN103" s="191"/>
      <c r="HO103" s="191"/>
      <c r="HP103" s="191"/>
      <c r="HQ103" s="600"/>
      <c r="HR103" s="191"/>
      <c r="HS103" s="191"/>
      <c r="HT103" s="191"/>
      <c r="HU103" s="191"/>
      <c r="HV103" s="191"/>
      <c r="HW103" s="600"/>
      <c r="HX103" s="191"/>
      <c r="HY103" s="191"/>
      <c r="HZ103" s="191"/>
      <c r="IA103" s="191"/>
      <c r="IB103" s="191"/>
      <c r="IC103" s="600"/>
      <c r="ID103" s="191"/>
      <c r="IE103" s="191"/>
      <c r="IF103" s="191"/>
      <c r="IG103" s="191"/>
      <c r="IH103" s="191"/>
      <c r="II103" s="600"/>
      <c r="IJ103" s="191"/>
      <c r="IK103" s="191"/>
      <c r="IL103" s="191"/>
      <c r="IM103" s="191"/>
      <c r="IN103" s="191"/>
      <c r="IO103" s="600"/>
      <c r="IP103" s="191"/>
      <c r="IQ103" s="191"/>
      <c r="IR103" s="191"/>
      <c r="IS103" s="191"/>
      <c r="IT103" s="191"/>
      <c r="IU103" s="600"/>
      <c r="IV103" s="191"/>
    </row>
    <row r="104" spans="1:256" ht="15.75">
      <c r="A104" s="191"/>
      <c r="B104" s="191"/>
      <c r="C104" s="191"/>
      <c r="D104" s="191"/>
      <c r="E104" s="645"/>
      <c r="F104" s="191"/>
      <c r="G104" s="82"/>
      <c r="H104" s="82"/>
      <c r="I104" s="82"/>
      <c r="J104" s="82"/>
      <c r="K104" s="724"/>
      <c r="L104" s="82"/>
      <c r="M104" s="82"/>
      <c r="N104" s="82"/>
      <c r="O104" s="82"/>
      <c r="P104" s="82"/>
      <c r="Q104" s="82"/>
      <c r="R104" s="191"/>
      <c r="S104" s="191"/>
      <c r="T104" s="191"/>
      <c r="U104" s="600"/>
      <c r="V104" s="191"/>
      <c r="W104" s="191"/>
      <c r="X104" s="191"/>
      <c r="Y104" s="191"/>
      <c r="Z104" s="191"/>
      <c r="AA104" s="600"/>
      <c r="AB104" s="191"/>
      <c r="AC104" s="191"/>
      <c r="AD104" s="191"/>
      <c r="AE104" s="191"/>
      <c r="AF104" s="191"/>
      <c r="AG104" s="600"/>
      <c r="AH104" s="191"/>
      <c r="AI104" s="191"/>
      <c r="AJ104" s="191"/>
      <c r="AK104" s="191"/>
      <c r="AL104" s="191"/>
      <c r="AM104" s="600"/>
      <c r="AN104" s="191"/>
      <c r="AO104" s="191"/>
      <c r="AP104" s="191"/>
      <c r="AQ104" s="191"/>
      <c r="AR104" s="191"/>
      <c r="AS104" s="600"/>
      <c r="AT104" s="191"/>
      <c r="AU104" s="191"/>
      <c r="AV104" s="191"/>
      <c r="AW104" s="191"/>
      <c r="AX104" s="191"/>
      <c r="AY104" s="600"/>
      <c r="AZ104" s="191"/>
      <c r="BA104" s="191"/>
      <c r="BB104" s="191"/>
      <c r="BC104" s="191"/>
      <c r="BD104" s="191"/>
      <c r="BE104" s="600"/>
      <c r="BF104" s="191"/>
      <c r="BG104" s="191"/>
      <c r="BH104" s="191"/>
      <c r="BI104" s="191"/>
      <c r="BJ104" s="191"/>
      <c r="BK104" s="600"/>
      <c r="BL104" s="191"/>
      <c r="BM104" s="191"/>
      <c r="BN104" s="191"/>
      <c r="BO104" s="191"/>
      <c r="BP104" s="191"/>
      <c r="BQ104" s="600"/>
      <c r="BR104" s="191"/>
      <c r="BS104" s="191"/>
      <c r="BT104" s="191"/>
      <c r="BU104" s="191"/>
      <c r="BV104" s="191"/>
      <c r="BW104" s="600"/>
      <c r="BX104" s="191"/>
      <c r="BY104" s="191"/>
      <c r="BZ104" s="191"/>
      <c r="CA104" s="191"/>
      <c r="CB104" s="191"/>
      <c r="CC104" s="600"/>
      <c r="CD104" s="191"/>
      <c r="CE104" s="191"/>
      <c r="CF104" s="191"/>
      <c r="CG104" s="191"/>
      <c r="CH104" s="191"/>
      <c r="CI104" s="600"/>
      <c r="CJ104" s="191"/>
      <c r="CK104" s="191"/>
      <c r="CL104" s="191"/>
      <c r="CM104" s="191"/>
      <c r="CN104" s="191"/>
      <c r="CO104" s="600"/>
      <c r="CP104" s="191"/>
      <c r="CQ104" s="191"/>
      <c r="CR104" s="191"/>
      <c r="CS104" s="191"/>
      <c r="CT104" s="191"/>
      <c r="CU104" s="600"/>
      <c r="CV104" s="191"/>
      <c r="CW104" s="191"/>
      <c r="CX104" s="191"/>
      <c r="CY104" s="191"/>
      <c r="CZ104" s="191"/>
      <c r="DA104" s="600"/>
      <c r="DB104" s="191"/>
      <c r="DC104" s="191"/>
      <c r="DD104" s="191"/>
      <c r="DE104" s="191"/>
      <c r="DF104" s="191"/>
      <c r="DG104" s="600"/>
      <c r="DH104" s="191"/>
      <c r="DI104" s="191"/>
      <c r="DJ104" s="191"/>
      <c r="DK104" s="191"/>
      <c r="DL104" s="191"/>
      <c r="DM104" s="600"/>
      <c r="DN104" s="191"/>
      <c r="DO104" s="191"/>
      <c r="DP104" s="191"/>
      <c r="DQ104" s="191"/>
      <c r="DR104" s="191"/>
      <c r="DS104" s="600"/>
      <c r="DT104" s="191"/>
      <c r="DU104" s="191"/>
      <c r="DV104" s="191"/>
      <c r="DW104" s="191"/>
      <c r="DX104" s="191"/>
      <c r="DY104" s="600"/>
      <c r="DZ104" s="191"/>
      <c r="EA104" s="191"/>
      <c r="EB104" s="191"/>
      <c r="EC104" s="191"/>
      <c r="ED104" s="191"/>
      <c r="EE104" s="600"/>
      <c r="EF104" s="191"/>
      <c r="EG104" s="191"/>
      <c r="EH104" s="191"/>
      <c r="EI104" s="191"/>
      <c r="EJ104" s="191"/>
      <c r="EK104" s="600"/>
      <c r="EL104" s="191"/>
      <c r="EM104" s="191"/>
      <c r="EN104" s="191"/>
      <c r="EO104" s="191"/>
      <c r="EP104" s="191"/>
      <c r="EQ104" s="600"/>
      <c r="ER104" s="191"/>
      <c r="ES104" s="191"/>
      <c r="ET104" s="191"/>
      <c r="EU104" s="191"/>
      <c r="EV104" s="191"/>
      <c r="EW104" s="600"/>
      <c r="EX104" s="191"/>
      <c r="EY104" s="191"/>
      <c r="EZ104" s="191"/>
      <c r="FA104" s="191"/>
      <c r="FB104" s="191"/>
      <c r="FC104" s="600"/>
      <c r="FD104" s="191"/>
      <c r="FE104" s="191"/>
      <c r="FF104" s="191"/>
      <c r="FG104" s="191"/>
      <c r="FH104" s="191"/>
      <c r="FI104" s="600"/>
      <c r="FJ104" s="191"/>
      <c r="FK104" s="191"/>
      <c r="FL104" s="191"/>
      <c r="FM104" s="191"/>
      <c r="FN104" s="191"/>
      <c r="FO104" s="600"/>
      <c r="FP104" s="191"/>
      <c r="FQ104" s="191"/>
      <c r="FR104" s="191"/>
      <c r="FS104" s="191"/>
      <c r="FT104" s="191"/>
      <c r="FU104" s="600"/>
      <c r="FV104" s="191"/>
      <c r="FW104" s="191"/>
      <c r="FX104" s="191"/>
      <c r="FY104" s="191"/>
      <c r="FZ104" s="191"/>
      <c r="GA104" s="600"/>
      <c r="GB104" s="191"/>
      <c r="GC104" s="191"/>
      <c r="GD104" s="191"/>
      <c r="GE104" s="191"/>
      <c r="GF104" s="191"/>
      <c r="GG104" s="600"/>
      <c r="GH104" s="191"/>
      <c r="GI104" s="191"/>
      <c r="GJ104" s="191"/>
      <c r="GK104" s="191"/>
      <c r="GL104" s="191"/>
      <c r="GM104" s="600"/>
      <c r="GN104" s="191"/>
      <c r="GO104" s="191"/>
      <c r="GP104" s="191"/>
      <c r="GQ104" s="191"/>
      <c r="GR104" s="191"/>
      <c r="GS104" s="600"/>
      <c r="GT104" s="191"/>
      <c r="GU104" s="191"/>
      <c r="GV104" s="191"/>
      <c r="GW104" s="191"/>
      <c r="GX104" s="191"/>
      <c r="GY104" s="600"/>
      <c r="GZ104" s="191"/>
      <c r="HA104" s="191"/>
      <c r="HB104" s="191"/>
      <c r="HC104" s="191"/>
      <c r="HD104" s="191"/>
      <c r="HE104" s="600"/>
      <c r="HF104" s="191"/>
      <c r="HG104" s="191"/>
      <c r="HH104" s="191"/>
      <c r="HI104" s="191"/>
      <c r="HJ104" s="191"/>
      <c r="HK104" s="600"/>
      <c r="HL104" s="191"/>
      <c r="HM104" s="191"/>
      <c r="HN104" s="191"/>
      <c r="HO104" s="191"/>
      <c r="HP104" s="191"/>
      <c r="HQ104" s="600"/>
      <c r="HR104" s="191"/>
      <c r="HS104" s="191"/>
      <c r="HT104" s="191"/>
      <c r="HU104" s="191"/>
      <c r="HV104" s="191"/>
      <c r="HW104" s="600"/>
      <c r="HX104" s="191"/>
      <c r="HY104" s="191"/>
      <c r="HZ104" s="191"/>
      <c r="IA104" s="191"/>
      <c r="IB104" s="191"/>
      <c r="IC104" s="600"/>
      <c r="ID104" s="191"/>
      <c r="IE104" s="191"/>
      <c r="IF104" s="191"/>
      <c r="IG104" s="191"/>
      <c r="IH104" s="191"/>
      <c r="II104" s="600"/>
      <c r="IJ104" s="191"/>
      <c r="IK104" s="191"/>
      <c r="IL104" s="191"/>
      <c r="IM104" s="191"/>
      <c r="IN104" s="191"/>
      <c r="IO104" s="600"/>
      <c r="IP104" s="191"/>
      <c r="IQ104" s="191"/>
      <c r="IR104" s="191"/>
      <c r="IS104" s="191"/>
      <c r="IT104" s="191"/>
      <c r="IU104" s="600"/>
      <c r="IV104" s="191"/>
    </row>
    <row r="105" ht="16.5" thickBot="1">
      <c r="A105" s="697" t="str">
        <f>'Appendix A'!C247</f>
        <v>Facility Credits under Section 30.9 of the PJM OATT </v>
      </c>
    </row>
    <row r="106" spans="1:17" ht="15.75">
      <c r="A106" s="1119" t="s">
        <v>579</v>
      </c>
      <c r="B106" s="1120"/>
      <c r="C106" s="1120"/>
      <c r="D106" s="1120"/>
      <c r="E106" s="1120"/>
      <c r="F106" s="1121"/>
      <c r="G106" s="694" t="s">
        <v>23</v>
      </c>
      <c r="H106" s="1124" t="s">
        <v>91</v>
      </c>
      <c r="I106" s="1137"/>
      <c r="J106" s="1137"/>
      <c r="K106" s="1137"/>
      <c r="L106" s="1137"/>
      <c r="M106" s="1137"/>
      <c r="N106" s="1137"/>
      <c r="O106" s="1137"/>
      <c r="P106" s="1137"/>
      <c r="Q106" s="1138"/>
    </row>
    <row r="107" spans="1:17" ht="15.75">
      <c r="A107" s="644"/>
      <c r="B107" s="154" t="str">
        <f>'Appendix A'!C245</f>
        <v>Net Revenue Requirement</v>
      </c>
      <c r="C107" s="105"/>
      <c r="D107" s="105"/>
      <c r="E107" s="168"/>
      <c r="F107" s="649"/>
      <c r="G107" s="82"/>
      <c r="H107" s="82"/>
      <c r="I107" s="82"/>
      <c r="J107" s="82"/>
      <c r="K107" s="82"/>
      <c r="L107" s="82"/>
      <c r="M107" s="82"/>
      <c r="N107" s="82"/>
      <c r="O107" s="82"/>
      <c r="P107" s="82"/>
      <c r="Q107" s="643"/>
    </row>
    <row r="108" spans="1:17" ht="16.5" thickBot="1">
      <c r="A108" s="654">
        <f>'Appendix A'!A247</f>
        <v>147</v>
      </c>
      <c r="B108" s="666"/>
      <c r="C108" s="657" t="str">
        <f>'Appendix A'!C247</f>
        <v>Facility Credits under Section 30.9 of the PJM OATT </v>
      </c>
      <c r="D108" s="657"/>
      <c r="E108" s="669"/>
      <c r="F108" s="669"/>
      <c r="G108" s="950">
        <v>0</v>
      </c>
      <c r="H108" s="1156" t="s">
        <v>627</v>
      </c>
      <c r="I108" s="1135"/>
      <c r="J108" s="1135"/>
      <c r="K108" s="1135"/>
      <c r="L108" s="1135"/>
      <c r="M108" s="1135"/>
      <c r="N108" s="1135"/>
      <c r="O108" s="1135"/>
      <c r="P108" s="1135"/>
      <c r="Q108" s="1136"/>
    </row>
    <row r="109" spans="1:256" ht="15.75">
      <c r="A109" s="191"/>
      <c r="B109" s="191"/>
      <c r="C109" s="191"/>
      <c r="D109" s="191"/>
      <c r="E109" s="645"/>
      <c r="F109" s="191"/>
      <c r="G109" s="82"/>
      <c r="H109" s="82"/>
      <c r="I109" s="82"/>
      <c r="J109" s="82"/>
      <c r="K109" s="724"/>
      <c r="L109" s="82"/>
      <c r="M109" s="82"/>
      <c r="N109" s="82"/>
      <c r="O109" s="82"/>
      <c r="P109" s="82"/>
      <c r="Q109" s="82"/>
      <c r="R109" s="191"/>
      <c r="S109" s="191"/>
      <c r="T109" s="191"/>
      <c r="U109" s="600"/>
      <c r="V109" s="191"/>
      <c r="W109" s="191"/>
      <c r="X109" s="191"/>
      <c r="Y109" s="191"/>
      <c r="Z109" s="191"/>
      <c r="AA109" s="600"/>
      <c r="AB109" s="191"/>
      <c r="AC109" s="191"/>
      <c r="AD109" s="191"/>
      <c r="AE109" s="191"/>
      <c r="AF109" s="191"/>
      <c r="AG109" s="600"/>
      <c r="AH109" s="191"/>
      <c r="AI109" s="191"/>
      <c r="AJ109" s="191"/>
      <c r="AK109" s="191"/>
      <c r="AL109" s="191"/>
      <c r="AM109" s="600"/>
      <c r="AN109" s="191"/>
      <c r="AO109" s="191"/>
      <c r="AP109" s="191"/>
      <c r="AQ109" s="191"/>
      <c r="AR109" s="191"/>
      <c r="AS109" s="600"/>
      <c r="AT109" s="191"/>
      <c r="AU109" s="191"/>
      <c r="AV109" s="191"/>
      <c r="AW109" s="191"/>
      <c r="AX109" s="191"/>
      <c r="AY109" s="600"/>
      <c r="AZ109" s="191"/>
      <c r="BA109" s="191"/>
      <c r="BB109" s="191"/>
      <c r="BC109" s="191"/>
      <c r="BD109" s="191"/>
      <c r="BE109" s="600"/>
      <c r="BF109" s="191"/>
      <c r="BG109" s="191"/>
      <c r="BH109" s="191"/>
      <c r="BI109" s="191"/>
      <c r="BJ109" s="191"/>
      <c r="BK109" s="600"/>
      <c r="BL109" s="191"/>
      <c r="BM109" s="191"/>
      <c r="BN109" s="191"/>
      <c r="BO109" s="191"/>
      <c r="BP109" s="191"/>
      <c r="BQ109" s="600"/>
      <c r="BR109" s="191"/>
      <c r="BS109" s="191"/>
      <c r="BT109" s="191"/>
      <c r="BU109" s="191"/>
      <c r="BV109" s="191"/>
      <c r="BW109" s="600"/>
      <c r="BX109" s="191"/>
      <c r="BY109" s="191"/>
      <c r="BZ109" s="191"/>
      <c r="CA109" s="191"/>
      <c r="CB109" s="191"/>
      <c r="CC109" s="600"/>
      <c r="CD109" s="191"/>
      <c r="CE109" s="191"/>
      <c r="CF109" s="191"/>
      <c r="CG109" s="191"/>
      <c r="CH109" s="191"/>
      <c r="CI109" s="600"/>
      <c r="CJ109" s="191"/>
      <c r="CK109" s="191"/>
      <c r="CL109" s="191"/>
      <c r="CM109" s="191"/>
      <c r="CN109" s="191"/>
      <c r="CO109" s="600"/>
      <c r="CP109" s="191"/>
      <c r="CQ109" s="191"/>
      <c r="CR109" s="191"/>
      <c r="CS109" s="191"/>
      <c r="CT109" s="191"/>
      <c r="CU109" s="600"/>
      <c r="CV109" s="191"/>
      <c r="CW109" s="191"/>
      <c r="CX109" s="191"/>
      <c r="CY109" s="191"/>
      <c r="CZ109" s="191"/>
      <c r="DA109" s="600"/>
      <c r="DB109" s="191"/>
      <c r="DC109" s="191"/>
      <c r="DD109" s="191"/>
      <c r="DE109" s="191"/>
      <c r="DF109" s="191"/>
      <c r="DG109" s="600"/>
      <c r="DH109" s="191"/>
      <c r="DI109" s="191"/>
      <c r="DJ109" s="191"/>
      <c r="DK109" s="191"/>
      <c r="DL109" s="191"/>
      <c r="DM109" s="600"/>
      <c r="DN109" s="191"/>
      <c r="DO109" s="191"/>
      <c r="DP109" s="191"/>
      <c r="DQ109" s="191"/>
      <c r="DR109" s="191"/>
      <c r="DS109" s="600"/>
      <c r="DT109" s="191"/>
      <c r="DU109" s="191"/>
      <c r="DV109" s="191"/>
      <c r="DW109" s="191"/>
      <c r="DX109" s="191"/>
      <c r="DY109" s="600"/>
      <c r="DZ109" s="191"/>
      <c r="EA109" s="191"/>
      <c r="EB109" s="191"/>
      <c r="EC109" s="191"/>
      <c r="ED109" s="191"/>
      <c r="EE109" s="600"/>
      <c r="EF109" s="191"/>
      <c r="EG109" s="191"/>
      <c r="EH109" s="191"/>
      <c r="EI109" s="191"/>
      <c r="EJ109" s="191"/>
      <c r="EK109" s="600"/>
      <c r="EL109" s="191"/>
      <c r="EM109" s="191"/>
      <c r="EN109" s="191"/>
      <c r="EO109" s="191"/>
      <c r="EP109" s="191"/>
      <c r="EQ109" s="600"/>
      <c r="ER109" s="191"/>
      <c r="ES109" s="191"/>
      <c r="ET109" s="191"/>
      <c r="EU109" s="191"/>
      <c r="EV109" s="191"/>
      <c r="EW109" s="600"/>
      <c r="EX109" s="191"/>
      <c r="EY109" s="191"/>
      <c r="EZ109" s="191"/>
      <c r="FA109" s="191"/>
      <c r="FB109" s="191"/>
      <c r="FC109" s="600"/>
      <c r="FD109" s="191"/>
      <c r="FE109" s="191"/>
      <c r="FF109" s="191"/>
      <c r="FG109" s="191"/>
      <c r="FH109" s="191"/>
      <c r="FI109" s="600"/>
      <c r="FJ109" s="191"/>
      <c r="FK109" s="191"/>
      <c r="FL109" s="191"/>
      <c r="FM109" s="191"/>
      <c r="FN109" s="191"/>
      <c r="FO109" s="600"/>
      <c r="FP109" s="191"/>
      <c r="FQ109" s="191"/>
      <c r="FR109" s="191"/>
      <c r="FS109" s="191"/>
      <c r="FT109" s="191"/>
      <c r="FU109" s="600"/>
      <c r="FV109" s="191"/>
      <c r="FW109" s="191"/>
      <c r="FX109" s="191"/>
      <c r="FY109" s="191"/>
      <c r="FZ109" s="191"/>
      <c r="GA109" s="600"/>
      <c r="GB109" s="191"/>
      <c r="GC109" s="191"/>
      <c r="GD109" s="191"/>
      <c r="GE109" s="191"/>
      <c r="GF109" s="191"/>
      <c r="GG109" s="600"/>
      <c r="GH109" s="191"/>
      <c r="GI109" s="191"/>
      <c r="GJ109" s="191"/>
      <c r="GK109" s="191"/>
      <c r="GL109" s="191"/>
      <c r="GM109" s="600"/>
      <c r="GN109" s="191"/>
      <c r="GO109" s="191"/>
      <c r="GP109" s="191"/>
      <c r="GQ109" s="191"/>
      <c r="GR109" s="191"/>
      <c r="GS109" s="600"/>
      <c r="GT109" s="191"/>
      <c r="GU109" s="191"/>
      <c r="GV109" s="191"/>
      <c r="GW109" s="191"/>
      <c r="GX109" s="191"/>
      <c r="GY109" s="600"/>
      <c r="GZ109" s="191"/>
      <c r="HA109" s="191"/>
      <c r="HB109" s="191"/>
      <c r="HC109" s="191"/>
      <c r="HD109" s="191"/>
      <c r="HE109" s="600"/>
      <c r="HF109" s="191"/>
      <c r="HG109" s="191"/>
      <c r="HH109" s="191"/>
      <c r="HI109" s="191"/>
      <c r="HJ109" s="191"/>
      <c r="HK109" s="600"/>
      <c r="HL109" s="191"/>
      <c r="HM109" s="191"/>
      <c r="HN109" s="191"/>
      <c r="HO109" s="191"/>
      <c r="HP109" s="191"/>
      <c r="HQ109" s="600"/>
      <c r="HR109" s="191"/>
      <c r="HS109" s="191"/>
      <c r="HT109" s="191"/>
      <c r="HU109" s="191"/>
      <c r="HV109" s="191"/>
      <c r="HW109" s="600"/>
      <c r="HX109" s="191"/>
      <c r="HY109" s="191"/>
      <c r="HZ109" s="191"/>
      <c r="IA109" s="191"/>
      <c r="IB109" s="191"/>
      <c r="IC109" s="600"/>
      <c r="ID109" s="191"/>
      <c r="IE109" s="191"/>
      <c r="IF109" s="191"/>
      <c r="IG109" s="191"/>
      <c r="IH109" s="191"/>
      <c r="II109" s="600"/>
      <c r="IJ109" s="191"/>
      <c r="IK109" s="191"/>
      <c r="IL109" s="191"/>
      <c r="IM109" s="191"/>
      <c r="IN109" s="191"/>
      <c r="IO109" s="600"/>
      <c r="IP109" s="191"/>
      <c r="IQ109" s="191"/>
      <c r="IR109" s="191"/>
      <c r="IS109" s="191"/>
      <c r="IT109" s="191"/>
      <c r="IU109" s="600"/>
      <c r="IV109" s="191"/>
    </row>
    <row r="110" spans="1:256" ht="15.75">
      <c r="A110" s="191"/>
      <c r="B110" s="191"/>
      <c r="C110" s="191"/>
      <c r="D110" s="191"/>
      <c r="E110" s="645"/>
      <c r="F110" s="191"/>
      <c r="G110" s="82"/>
      <c r="H110" s="82"/>
      <c r="I110" s="82"/>
      <c r="J110" s="82"/>
      <c r="K110" s="724"/>
      <c r="L110" s="82"/>
      <c r="M110" s="82"/>
      <c r="N110" s="82"/>
      <c r="O110" s="82"/>
      <c r="P110" s="82"/>
      <c r="Q110" s="82"/>
      <c r="R110" s="191"/>
      <c r="S110" s="191"/>
      <c r="T110" s="191"/>
      <c r="U110" s="600"/>
      <c r="V110" s="191"/>
      <c r="W110" s="191"/>
      <c r="X110" s="191"/>
      <c r="Y110" s="191"/>
      <c r="Z110" s="191"/>
      <c r="AA110" s="600"/>
      <c r="AB110" s="191"/>
      <c r="AC110" s="191"/>
      <c r="AD110" s="191"/>
      <c r="AE110" s="191"/>
      <c r="AF110" s="191"/>
      <c r="AG110" s="600"/>
      <c r="AH110" s="191"/>
      <c r="AI110" s="191"/>
      <c r="AJ110" s="191"/>
      <c r="AK110" s="191"/>
      <c r="AL110" s="191"/>
      <c r="AM110" s="600"/>
      <c r="AN110" s="191"/>
      <c r="AO110" s="191"/>
      <c r="AP110" s="191"/>
      <c r="AQ110" s="191"/>
      <c r="AR110" s="191"/>
      <c r="AS110" s="600"/>
      <c r="AT110" s="191"/>
      <c r="AU110" s="191"/>
      <c r="AV110" s="191"/>
      <c r="AW110" s="191"/>
      <c r="AX110" s="191"/>
      <c r="AY110" s="600"/>
      <c r="AZ110" s="191"/>
      <c r="BA110" s="191"/>
      <c r="BB110" s="191"/>
      <c r="BC110" s="191"/>
      <c r="BD110" s="191"/>
      <c r="BE110" s="600"/>
      <c r="BF110" s="191"/>
      <c r="BG110" s="191"/>
      <c r="BH110" s="191"/>
      <c r="BI110" s="191"/>
      <c r="BJ110" s="191"/>
      <c r="BK110" s="600"/>
      <c r="BL110" s="191"/>
      <c r="BM110" s="191"/>
      <c r="BN110" s="191"/>
      <c r="BO110" s="191"/>
      <c r="BP110" s="191"/>
      <c r="BQ110" s="600"/>
      <c r="BR110" s="191"/>
      <c r="BS110" s="191"/>
      <c r="BT110" s="191"/>
      <c r="BU110" s="191"/>
      <c r="BV110" s="191"/>
      <c r="BW110" s="600"/>
      <c r="BX110" s="191"/>
      <c r="BY110" s="191"/>
      <c r="BZ110" s="191"/>
      <c r="CA110" s="191"/>
      <c r="CB110" s="191"/>
      <c r="CC110" s="600"/>
      <c r="CD110" s="191"/>
      <c r="CE110" s="191"/>
      <c r="CF110" s="191"/>
      <c r="CG110" s="191"/>
      <c r="CH110" s="191"/>
      <c r="CI110" s="600"/>
      <c r="CJ110" s="191"/>
      <c r="CK110" s="191"/>
      <c r="CL110" s="191"/>
      <c r="CM110" s="191"/>
      <c r="CN110" s="191"/>
      <c r="CO110" s="600"/>
      <c r="CP110" s="191"/>
      <c r="CQ110" s="191"/>
      <c r="CR110" s="191"/>
      <c r="CS110" s="191"/>
      <c r="CT110" s="191"/>
      <c r="CU110" s="600"/>
      <c r="CV110" s="191"/>
      <c r="CW110" s="191"/>
      <c r="CX110" s="191"/>
      <c r="CY110" s="191"/>
      <c r="CZ110" s="191"/>
      <c r="DA110" s="600"/>
      <c r="DB110" s="191"/>
      <c r="DC110" s="191"/>
      <c r="DD110" s="191"/>
      <c r="DE110" s="191"/>
      <c r="DF110" s="191"/>
      <c r="DG110" s="600"/>
      <c r="DH110" s="191"/>
      <c r="DI110" s="191"/>
      <c r="DJ110" s="191"/>
      <c r="DK110" s="191"/>
      <c r="DL110" s="191"/>
      <c r="DM110" s="600"/>
      <c r="DN110" s="191"/>
      <c r="DO110" s="191"/>
      <c r="DP110" s="191"/>
      <c r="DQ110" s="191"/>
      <c r="DR110" s="191"/>
      <c r="DS110" s="600"/>
      <c r="DT110" s="191"/>
      <c r="DU110" s="191"/>
      <c r="DV110" s="191"/>
      <c r="DW110" s="191"/>
      <c r="DX110" s="191"/>
      <c r="DY110" s="600"/>
      <c r="DZ110" s="191"/>
      <c r="EA110" s="191"/>
      <c r="EB110" s="191"/>
      <c r="EC110" s="191"/>
      <c r="ED110" s="191"/>
      <c r="EE110" s="600"/>
      <c r="EF110" s="191"/>
      <c r="EG110" s="191"/>
      <c r="EH110" s="191"/>
      <c r="EI110" s="191"/>
      <c r="EJ110" s="191"/>
      <c r="EK110" s="600"/>
      <c r="EL110" s="191"/>
      <c r="EM110" s="191"/>
      <c r="EN110" s="191"/>
      <c r="EO110" s="191"/>
      <c r="EP110" s="191"/>
      <c r="EQ110" s="600"/>
      <c r="ER110" s="191"/>
      <c r="ES110" s="191"/>
      <c r="ET110" s="191"/>
      <c r="EU110" s="191"/>
      <c r="EV110" s="191"/>
      <c r="EW110" s="600"/>
      <c r="EX110" s="191"/>
      <c r="EY110" s="191"/>
      <c r="EZ110" s="191"/>
      <c r="FA110" s="191"/>
      <c r="FB110" s="191"/>
      <c r="FC110" s="600"/>
      <c r="FD110" s="191"/>
      <c r="FE110" s="191"/>
      <c r="FF110" s="191"/>
      <c r="FG110" s="191"/>
      <c r="FH110" s="191"/>
      <c r="FI110" s="600"/>
      <c r="FJ110" s="191"/>
      <c r="FK110" s="191"/>
      <c r="FL110" s="191"/>
      <c r="FM110" s="191"/>
      <c r="FN110" s="191"/>
      <c r="FO110" s="600"/>
      <c r="FP110" s="191"/>
      <c r="FQ110" s="191"/>
      <c r="FR110" s="191"/>
      <c r="FS110" s="191"/>
      <c r="FT110" s="191"/>
      <c r="FU110" s="600"/>
      <c r="FV110" s="191"/>
      <c r="FW110" s="191"/>
      <c r="FX110" s="191"/>
      <c r="FY110" s="191"/>
      <c r="FZ110" s="191"/>
      <c r="GA110" s="600"/>
      <c r="GB110" s="191"/>
      <c r="GC110" s="191"/>
      <c r="GD110" s="191"/>
      <c r="GE110" s="191"/>
      <c r="GF110" s="191"/>
      <c r="GG110" s="600"/>
      <c r="GH110" s="191"/>
      <c r="GI110" s="191"/>
      <c r="GJ110" s="191"/>
      <c r="GK110" s="191"/>
      <c r="GL110" s="191"/>
      <c r="GM110" s="600"/>
      <c r="GN110" s="191"/>
      <c r="GO110" s="191"/>
      <c r="GP110" s="191"/>
      <c r="GQ110" s="191"/>
      <c r="GR110" s="191"/>
      <c r="GS110" s="600"/>
      <c r="GT110" s="191"/>
      <c r="GU110" s="191"/>
      <c r="GV110" s="191"/>
      <c r="GW110" s="191"/>
      <c r="GX110" s="191"/>
      <c r="GY110" s="600"/>
      <c r="GZ110" s="191"/>
      <c r="HA110" s="191"/>
      <c r="HB110" s="191"/>
      <c r="HC110" s="191"/>
      <c r="HD110" s="191"/>
      <c r="HE110" s="600"/>
      <c r="HF110" s="191"/>
      <c r="HG110" s="191"/>
      <c r="HH110" s="191"/>
      <c r="HI110" s="191"/>
      <c r="HJ110" s="191"/>
      <c r="HK110" s="600"/>
      <c r="HL110" s="191"/>
      <c r="HM110" s="191"/>
      <c r="HN110" s="191"/>
      <c r="HO110" s="191"/>
      <c r="HP110" s="191"/>
      <c r="HQ110" s="600"/>
      <c r="HR110" s="191"/>
      <c r="HS110" s="191"/>
      <c r="HT110" s="191"/>
      <c r="HU110" s="191"/>
      <c r="HV110" s="191"/>
      <c r="HW110" s="600"/>
      <c r="HX110" s="191"/>
      <c r="HY110" s="191"/>
      <c r="HZ110" s="191"/>
      <c r="IA110" s="191"/>
      <c r="IB110" s="191"/>
      <c r="IC110" s="600"/>
      <c r="ID110" s="191"/>
      <c r="IE110" s="191"/>
      <c r="IF110" s="191"/>
      <c r="IG110" s="191"/>
      <c r="IH110" s="191"/>
      <c r="II110" s="600"/>
      <c r="IJ110" s="191"/>
      <c r="IK110" s="191"/>
      <c r="IL110" s="191"/>
      <c r="IM110" s="191"/>
      <c r="IN110" s="191"/>
      <c r="IO110" s="600"/>
      <c r="IP110" s="191"/>
      <c r="IQ110" s="191"/>
      <c r="IR110" s="191"/>
      <c r="IS110" s="191"/>
      <c r="IT110" s="191"/>
      <c r="IU110" s="600"/>
      <c r="IV110" s="191"/>
    </row>
    <row r="111" spans="1:256" ht="18" customHeight="1" hidden="1">
      <c r="A111" s="191"/>
      <c r="B111" s="191"/>
      <c r="C111" s="191"/>
      <c r="D111" s="191"/>
      <c r="E111" s="645"/>
      <c r="F111" s="191"/>
      <c r="G111" s="187"/>
      <c r="H111" s="1127"/>
      <c r="I111" s="1128"/>
      <c r="J111" s="1128"/>
      <c r="K111" s="1128"/>
      <c r="L111" s="1128"/>
      <c r="M111" s="1128"/>
      <c r="N111" s="1128"/>
      <c r="O111" s="1128"/>
      <c r="P111" s="1128"/>
      <c r="Q111" s="1128"/>
      <c r="R111" s="191"/>
      <c r="S111" s="191"/>
      <c r="T111" s="191"/>
      <c r="U111" s="600"/>
      <c r="V111" s="191"/>
      <c r="W111" s="191"/>
      <c r="X111" s="191"/>
      <c r="Y111" s="191"/>
      <c r="Z111" s="191"/>
      <c r="AA111" s="600"/>
      <c r="AB111" s="191"/>
      <c r="AC111" s="191"/>
      <c r="AD111" s="191"/>
      <c r="AE111" s="191"/>
      <c r="AF111" s="191"/>
      <c r="AG111" s="600"/>
      <c r="AH111" s="191"/>
      <c r="AI111" s="191"/>
      <c r="AJ111" s="191"/>
      <c r="AK111" s="191"/>
      <c r="AL111" s="191"/>
      <c r="AM111" s="600"/>
      <c r="AN111" s="191"/>
      <c r="AO111" s="191"/>
      <c r="AP111" s="191"/>
      <c r="AQ111" s="191"/>
      <c r="AR111" s="191"/>
      <c r="AS111" s="600"/>
      <c r="AT111" s="191"/>
      <c r="AU111" s="191"/>
      <c r="AV111" s="191"/>
      <c r="AW111" s="191"/>
      <c r="AX111" s="191"/>
      <c r="AY111" s="600"/>
      <c r="AZ111" s="191"/>
      <c r="BA111" s="191"/>
      <c r="BB111" s="191"/>
      <c r="BC111" s="191"/>
      <c r="BD111" s="191"/>
      <c r="BE111" s="600"/>
      <c r="BF111" s="191"/>
      <c r="BG111" s="191"/>
      <c r="BH111" s="191"/>
      <c r="BI111" s="191"/>
      <c r="BJ111" s="191"/>
      <c r="BK111" s="600"/>
      <c r="BL111" s="191"/>
      <c r="BM111" s="191"/>
      <c r="BN111" s="191"/>
      <c r="BO111" s="191"/>
      <c r="BP111" s="191"/>
      <c r="BQ111" s="600"/>
      <c r="BR111" s="191"/>
      <c r="BS111" s="191"/>
      <c r="BT111" s="191"/>
      <c r="BU111" s="191"/>
      <c r="BV111" s="191"/>
      <c r="BW111" s="600"/>
      <c r="BX111" s="191"/>
      <c r="BY111" s="191"/>
      <c r="BZ111" s="191"/>
      <c r="CA111" s="191"/>
      <c r="CB111" s="191"/>
      <c r="CC111" s="600"/>
      <c r="CD111" s="191"/>
      <c r="CE111" s="191"/>
      <c r="CF111" s="191"/>
      <c r="CG111" s="191"/>
      <c r="CH111" s="191"/>
      <c r="CI111" s="600"/>
      <c r="CJ111" s="191"/>
      <c r="CK111" s="191"/>
      <c r="CL111" s="191"/>
      <c r="CM111" s="191"/>
      <c r="CN111" s="191"/>
      <c r="CO111" s="600"/>
      <c r="CP111" s="191"/>
      <c r="CQ111" s="191"/>
      <c r="CR111" s="191"/>
      <c r="CS111" s="191"/>
      <c r="CT111" s="191"/>
      <c r="CU111" s="600"/>
      <c r="CV111" s="191"/>
      <c r="CW111" s="191"/>
      <c r="CX111" s="191"/>
      <c r="CY111" s="191"/>
      <c r="CZ111" s="191"/>
      <c r="DA111" s="600"/>
      <c r="DB111" s="191"/>
      <c r="DC111" s="191"/>
      <c r="DD111" s="191"/>
      <c r="DE111" s="191"/>
      <c r="DF111" s="191"/>
      <c r="DG111" s="600"/>
      <c r="DH111" s="191"/>
      <c r="DI111" s="191"/>
      <c r="DJ111" s="191"/>
      <c r="DK111" s="191"/>
      <c r="DL111" s="191"/>
      <c r="DM111" s="600"/>
      <c r="DN111" s="191"/>
      <c r="DO111" s="191"/>
      <c r="DP111" s="191"/>
      <c r="DQ111" s="191"/>
      <c r="DR111" s="191"/>
      <c r="DS111" s="600"/>
      <c r="DT111" s="191"/>
      <c r="DU111" s="191"/>
      <c r="DV111" s="191"/>
      <c r="DW111" s="191"/>
      <c r="DX111" s="191"/>
      <c r="DY111" s="600"/>
      <c r="DZ111" s="191"/>
      <c r="EA111" s="191"/>
      <c r="EB111" s="191"/>
      <c r="EC111" s="191"/>
      <c r="ED111" s="191"/>
      <c r="EE111" s="600"/>
      <c r="EF111" s="191"/>
      <c r="EG111" s="191"/>
      <c r="EH111" s="191"/>
      <c r="EI111" s="191"/>
      <c r="EJ111" s="191"/>
      <c r="EK111" s="600"/>
      <c r="EL111" s="191"/>
      <c r="EM111" s="191"/>
      <c r="EN111" s="191"/>
      <c r="EO111" s="191"/>
      <c r="EP111" s="191"/>
      <c r="EQ111" s="600"/>
      <c r="ER111" s="191"/>
      <c r="ES111" s="191"/>
      <c r="ET111" s="191"/>
      <c r="EU111" s="191"/>
      <c r="EV111" s="191"/>
      <c r="EW111" s="600"/>
      <c r="EX111" s="191"/>
      <c r="EY111" s="191"/>
      <c r="EZ111" s="191"/>
      <c r="FA111" s="191"/>
      <c r="FB111" s="191"/>
      <c r="FC111" s="600"/>
      <c r="FD111" s="191"/>
      <c r="FE111" s="191"/>
      <c r="FF111" s="191"/>
      <c r="FG111" s="191"/>
      <c r="FH111" s="191"/>
      <c r="FI111" s="600"/>
      <c r="FJ111" s="191"/>
      <c r="FK111" s="191"/>
      <c r="FL111" s="191"/>
      <c r="FM111" s="191"/>
      <c r="FN111" s="191"/>
      <c r="FO111" s="600"/>
      <c r="FP111" s="191"/>
      <c r="FQ111" s="191"/>
      <c r="FR111" s="191"/>
      <c r="FS111" s="191"/>
      <c r="FT111" s="191"/>
      <c r="FU111" s="600"/>
      <c r="FV111" s="191"/>
      <c r="FW111" s="191"/>
      <c r="FX111" s="191"/>
      <c r="FY111" s="191"/>
      <c r="FZ111" s="191"/>
      <c r="GA111" s="600"/>
      <c r="GB111" s="191"/>
      <c r="GC111" s="191"/>
      <c r="GD111" s="191"/>
      <c r="GE111" s="191"/>
      <c r="GF111" s="191"/>
      <c r="GG111" s="600"/>
      <c r="GH111" s="191"/>
      <c r="GI111" s="191"/>
      <c r="GJ111" s="191"/>
      <c r="GK111" s="191"/>
      <c r="GL111" s="191"/>
      <c r="GM111" s="600"/>
      <c r="GN111" s="191"/>
      <c r="GO111" s="191"/>
      <c r="GP111" s="191"/>
      <c r="GQ111" s="191"/>
      <c r="GR111" s="191"/>
      <c r="GS111" s="600"/>
      <c r="GT111" s="191"/>
      <c r="GU111" s="191"/>
      <c r="GV111" s="191"/>
      <c r="GW111" s="191"/>
      <c r="GX111" s="191"/>
      <c r="GY111" s="600"/>
      <c r="GZ111" s="191"/>
      <c r="HA111" s="191"/>
      <c r="HB111" s="191"/>
      <c r="HC111" s="191"/>
      <c r="HD111" s="191"/>
      <c r="HE111" s="600"/>
      <c r="HF111" s="191"/>
      <c r="HG111" s="191"/>
      <c r="HH111" s="191"/>
      <c r="HI111" s="191"/>
      <c r="HJ111" s="191"/>
      <c r="HK111" s="600"/>
      <c r="HL111" s="191"/>
      <c r="HM111" s="191"/>
      <c r="HN111" s="191"/>
      <c r="HO111" s="191"/>
      <c r="HP111" s="191"/>
      <c r="HQ111" s="600"/>
      <c r="HR111" s="191"/>
      <c r="HS111" s="191"/>
      <c r="HT111" s="191"/>
      <c r="HU111" s="191"/>
      <c r="HV111" s="191"/>
      <c r="HW111" s="600"/>
      <c r="HX111" s="191"/>
      <c r="HY111" s="191"/>
      <c r="HZ111" s="191"/>
      <c r="IA111" s="191"/>
      <c r="IB111" s="191"/>
      <c r="IC111" s="600"/>
      <c r="ID111" s="191"/>
      <c r="IE111" s="191"/>
      <c r="IF111" s="191"/>
      <c r="IG111" s="191"/>
      <c r="IH111" s="191"/>
      <c r="II111" s="600"/>
      <c r="IJ111" s="191"/>
      <c r="IK111" s="191"/>
      <c r="IL111" s="191"/>
      <c r="IM111" s="191"/>
      <c r="IN111" s="191"/>
      <c r="IO111" s="600"/>
      <c r="IP111" s="191"/>
      <c r="IQ111" s="191"/>
      <c r="IR111" s="191"/>
      <c r="IS111" s="191"/>
      <c r="IT111" s="191"/>
      <c r="IU111" s="600"/>
      <c r="IV111" s="191"/>
    </row>
    <row r="112" ht="15.75" hidden="1">
      <c r="A112" s="697"/>
    </row>
    <row r="113" spans="1:17" ht="15.75" hidden="1">
      <c r="A113" s="191"/>
      <c r="B113" s="191"/>
      <c r="C113" s="191"/>
      <c r="D113" s="191"/>
      <c r="E113" s="645"/>
      <c r="F113" s="191"/>
      <c r="G113" s="82"/>
      <c r="H113" s="82"/>
      <c r="I113" s="82"/>
      <c r="J113" s="82"/>
      <c r="K113" s="724"/>
      <c r="L113" s="82"/>
      <c r="M113" s="82"/>
      <c r="N113" s="82"/>
      <c r="O113" s="82"/>
      <c r="P113" s="82"/>
      <c r="Q113" s="82"/>
    </row>
    <row r="114" spans="1:17" ht="15.75" hidden="1">
      <c r="A114" s="191"/>
      <c r="B114" s="191"/>
      <c r="C114" s="191"/>
      <c r="D114" s="191"/>
      <c r="E114" s="645"/>
      <c r="F114" s="191"/>
      <c r="G114" s="82"/>
      <c r="H114" s="82"/>
      <c r="I114" s="82"/>
      <c r="J114" s="82"/>
      <c r="K114" s="724"/>
      <c r="L114" s="82"/>
      <c r="M114" s="82"/>
      <c r="N114" s="82"/>
      <c r="O114" s="82"/>
      <c r="P114" s="82"/>
      <c r="Q114" s="82"/>
    </row>
    <row r="115" ht="15"/>
    <row r="116" ht="16.5" thickBot="1">
      <c r="A116" s="697" t="s">
        <v>251</v>
      </c>
    </row>
    <row r="117" spans="1:17" ht="15.75">
      <c r="A117" s="1119" t="s">
        <v>320</v>
      </c>
      <c r="B117" s="1120"/>
      <c r="C117" s="1120"/>
      <c r="D117" s="1120"/>
      <c r="E117" s="1120"/>
      <c r="F117" s="1121"/>
      <c r="G117" s="694" t="str">
        <f>+C119</f>
        <v>1 CP Peak</v>
      </c>
      <c r="H117" s="1124" t="s">
        <v>91</v>
      </c>
      <c r="I117" s="1137"/>
      <c r="J117" s="1137"/>
      <c r="K117" s="1137"/>
      <c r="L117" s="1137"/>
      <c r="M117" s="1137"/>
      <c r="N117" s="1137"/>
      <c r="O117" s="1137"/>
      <c r="P117" s="1137"/>
      <c r="Q117" s="1138"/>
    </row>
    <row r="118" spans="1:17" ht="15.75">
      <c r="A118" s="644"/>
      <c r="B118" s="648" t="s">
        <v>63</v>
      </c>
      <c r="C118" s="105"/>
      <c r="D118" s="105"/>
      <c r="E118" s="168"/>
      <c r="F118" s="649"/>
      <c r="G118" s="82"/>
      <c r="H118" s="82"/>
      <c r="I118" s="82"/>
      <c r="J118" s="82"/>
      <c r="K118" s="82"/>
      <c r="L118" s="82"/>
      <c r="M118" s="82"/>
      <c r="N118" s="82"/>
      <c r="O118" s="82"/>
      <c r="P118" s="82"/>
      <c r="Q118" s="643"/>
    </row>
    <row r="119" spans="1:17" ht="16.5" thickBot="1">
      <c r="A119" s="654">
        <f>+'Appendix A'!A251</f>
        <v>149</v>
      </c>
      <c r="B119" s="666"/>
      <c r="C119" s="656" t="str">
        <f>+'Appendix A'!C251</f>
        <v>1 CP Peak</v>
      </c>
      <c r="D119" s="657"/>
      <c r="E119" s="658" t="str">
        <f>+'Appendix A'!E251</f>
        <v>(Note L)</v>
      </c>
      <c r="F119" s="667" t="str">
        <f>+'Appendix A'!F251</f>
        <v>PJM Data</v>
      </c>
      <c r="G119" s="951">
        <v>8055</v>
      </c>
      <c r="H119" s="1148"/>
      <c r="I119" s="1135"/>
      <c r="J119" s="1135"/>
      <c r="K119" s="1135"/>
      <c r="L119" s="1135"/>
      <c r="M119" s="1135"/>
      <c r="N119" s="1135"/>
      <c r="O119" s="1135"/>
      <c r="P119" s="1135"/>
      <c r="Q119" s="1136"/>
    </row>
    <row r="120" ht="15.75" customHeight="1"/>
    <row r="121" spans="1:13" ht="16.5" thickBot="1">
      <c r="A121" s="697" t="s">
        <v>358</v>
      </c>
      <c r="H121" s="670"/>
      <c r="I121" s="670"/>
      <c r="J121" s="670"/>
      <c r="K121" s="670"/>
      <c r="L121" s="670"/>
      <c r="M121" s="670"/>
    </row>
    <row r="122" spans="1:19" ht="15.75" customHeight="1">
      <c r="A122" s="1119"/>
      <c r="B122" s="1120"/>
      <c r="C122" s="1120"/>
      <c r="D122" s="1120"/>
      <c r="E122" s="1120"/>
      <c r="F122" s="1120"/>
      <c r="G122" s="698"/>
      <c r="H122" s="1124" t="s">
        <v>500</v>
      </c>
      <c r="I122" s="1124"/>
      <c r="J122" s="1124"/>
      <c r="K122" s="1124"/>
      <c r="L122" s="1124"/>
      <c r="M122" s="1124"/>
      <c r="N122" s="694"/>
      <c r="O122" s="954"/>
      <c r="P122" s="967"/>
      <c r="Q122" s="968"/>
      <c r="S122" s="1076"/>
    </row>
    <row r="123" spans="1:19" ht="15.75" customHeight="1">
      <c r="A123" s="974"/>
      <c r="B123" s="975"/>
      <c r="C123" s="975"/>
      <c r="D123" s="975"/>
      <c r="E123" s="975"/>
      <c r="F123" s="975"/>
      <c r="G123" s="970"/>
      <c r="H123" s="966" t="s">
        <v>170</v>
      </c>
      <c r="I123" s="966" t="s">
        <v>191</v>
      </c>
      <c r="J123" s="966" t="s">
        <v>193</v>
      </c>
      <c r="K123" s="966" t="s">
        <v>302</v>
      </c>
      <c r="L123" s="966" t="s">
        <v>303</v>
      </c>
      <c r="M123" s="976"/>
      <c r="N123" s="966" t="s">
        <v>589</v>
      </c>
      <c r="O123" s="971"/>
      <c r="P123" s="972"/>
      <c r="Q123" s="973"/>
      <c r="S123" s="1076"/>
    </row>
    <row r="124" spans="1:19" ht="15.75">
      <c r="A124" s="1153" t="s">
        <v>320</v>
      </c>
      <c r="B124" s="1154"/>
      <c r="C124" s="1154"/>
      <c r="D124" s="1154"/>
      <c r="E124" s="1154"/>
      <c r="F124" s="1155"/>
      <c r="G124" s="970" t="s">
        <v>476</v>
      </c>
      <c r="H124" s="977">
        <v>2010</v>
      </c>
      <c r="I124" s="977">
        <v>2011</v>
      </c>
      <c r="J124" s="977">
        <v>2012</v>
      </c>
      <c r="K124" s="977">
        <v>2013</v>
      </c>
      <c r="L124" s="977">
        <v>2014</v>
      </c>
      <c r="M124" s="966" t="s">
        <v>476</v>
      </c>
      <c r="N124" s="966" t="s">
        <v>178</v>
      </c>
      <c r="O124" s="971"/>
      <c r="P124" s="972"/>
      <c r="Q124" s="973"/>
      <c r="S124" s="1076"/>
    </row>
    <row r="125" spans="1:19" ht="15">
      <c r="A125" s="699"/>
      <c r="B125" s="82"/>
      <c r="C125" s="82"/>
      <c r="D125" s="82"/>
      <c r="E125" s="82"/>
      <c r="F125" s="82"/>
      <c r="G125" s="699"/>
      <c r="H125" s="82"/>
      <c r="I125" s="82"/>
      <c r="J125" s="82"/>
      <c r="K125" s="82"/>
      <c r="L125" s="82"/>
      <c r="M125" s="82"/>
      <c r="N125" s="82"/>
      <c r="O125" s="82"/>
      <c r="P125" s="82"/>
      <c r="Q125" s="643"/>
      <c r="S125" s="1076"/>
    </row>
    <row r="126" spans="1:19" ht="15">
      <c r="A126" s="699">
        <f>'Appendix A'!A128</f>
        <v>71</v>
      </c>
      <c r="B126" s="82"/>
      <c r="C126" s="82" t="str">
        <f>'Appendix A'!C128</f>
        <v>Transmission Depreciation Expense Including Amortization of Limited Term Plant</v>
      </c>
      <c r="D126" s="82"/>
      <c r="E126" s="197" t="str">
        <f>"(Note "&amp;'Appendix A'!$B$273&amp;")"</f>
        <v>(Note J)</v>
      </c>
      <c r="F126" s="191" t="s">
        <v>450</v>
      </c>
      <c r="G126" s="937">
        <v>45758314</v>
      </c>
      <c r="H126" s="82"/>
      <c r="I126" s="82"/>
      <c r="J126" s="82"/>
      <c r="K126" s="82"/>
      <c r="L126" s="82"/>
      <c r="M126" s="82"/>
      <c r="N126" s="82"/>
      <c r="O126" s="82"/>
      <c r="P126" s="82"/>
      <c r="Q126" s="643"/>
      <c r="S126" s="1076"/>
    </row>
    <row r="127" spans="1:19" ht="15">
      <c r="A127" s="699"/>
      <c r="B127" s="82"/>
      <c r="C127" s="82" t="s">
        <v>174</v>
      </c>
      <c r="D127" s="82"/>
      <c r="E127" s="197" t="str">
        <f>"(Note "&amp;'Appendix A'!$B$273&amp;")"</f>
        <v>(Note J)</v>
      </c>
      <c r="F127" s="191" t="s">
        <v>450</v>
      </c>
      <c r="G127" s="996">
        <f>N127</f>
        <v>6134722.6</v>
      </c>
      <c r="H127" s="938">
        <v>1932133</v>
      </c>
      <c r="I127" s="938">
        <v>3323131</v>
      </c>
      <c r="J127" s="938">
        <v>5552205</v>
      </c>
      <c r="K127" s="938">
        <v>3734692</v>
      </c>
      <c r="L127" s="938">
        <v>16131452</v>
      </c>
      <c r="M127" s="938">
        <f>SUM(H127:L127)</f>
        <v>30673613</v>
      </c>
      <c r="N127" s="947">
        <f>M127/5</f>
        <v>6134722.6</v>
      </c>
      <c r="O127" s="947"/>
      <c r="P127" s="82"/>
      <c r="Q127" s="643"/>
      <c r="S127" s="1076"/>
    </row>
    <row r="128" spans="1:19" ht="15">
      <c r="A128" s="699"/>
      <c r="B128" s="82"/>
      <c r="C128" s="82" t="s">
        <v>175</v>
      </c>
      <c r="D128" s="82"/>
      <c r="E128" s="197" t="str">
        <f>"(Note "&amp;'Appendix A'!$B$273&amp;")"</f>
        <v>(Note J)</v>
      </c>
      <c r="F128" s="191" t="s">
        <v>450</v>
      </c>
      <c r="G128" s="937">
        <f>SUM(G126:G127)</f>
        <v>51893036.6</v>
      </c>
      <c r="H128" s="82"/>
      <c r="I128" s="82"/>
      <c r="J128" s="82"/>
      <c r="K128" s="82"/>
      <c r="L128" s="82"/>
      <c r="M128" s="82"/>
      <c r="N128" s="82"/>
      <c r="O128" s="82"/>
      <c r="P128" s="82"/>
      <c r="Q128" s="643"/>
      <c r="S128" s="1076"/>
    </row>
    <row r="129" spans="1:19" ht="15">
      <c r="A129" s="699"/>
      <c r="B129" s="82"/>
      <c r="C129" s="82"/>
      <c r="D129" s="82"/>
      <c r="E129" s="82"/>
      <c r="F129" s="82"/>
      <c r="G129" s="699"/>
      <c r="H129" s="82"/>
      <c r="I129" s="82"/>
      <c r="J129" s="82"/>
      <c r="K129" s="82"/>
      <c r="L129" s="82"/>
      <c r="M129" s="82"/>
      <c r="N129" s="82"/>
      <c r="O129" s="82"/>
      <c r="P129" s="82"/>
      <c r="Q129" s="643"/>
      <c r="S129" s="1076"/>
    </row>
    <row r="130" spans="1:19" ht="15">
      <c r="A130" s="699">
        <f>'Appendix A'!A130</f>
        <v>72</v>
      </c>
      <c r="B130" s="82"/>
      <c r="C130" s="82" t="str">
        <f>'Appendix A'!C130</f>
        <v>General Depreciation Expense Including Amortization of Limited Term Plant</v>
      </c>
      <c r="D130" s="82"/>
      <c r="E130" s="197" t="str">
        <f>"(Note "&amp;'Appendix A'!$B$273&amp;")"</f>
        <v>(Note J)</v>
      </c>
      <c r="F130" s="191" t="s">
        <v>450</v>
      </c>
      <c r="G130" s="969">
        <v>23136037</v>
      </c>
      <c r="H130" s="82"/>
      <c r="I130" s="82"/>
      <c r="J130" s="82"/>
      <c r="K130" s="82"/>
      <c r="L130" s="82"/>
      <c r="M130" s="82"/>
      <c r="N130" s="82"/>
      <c r="O130" s="82"/>
      <c r="P130" s="82"/>
      <c r="Q130" s="643"/>
      <c r="S130" s="1076"/>
    </row>
    <row r="131" spans="1:19" ht="15">
      <c r="A131" s="699"/>
      <c r="B131" s="82"/>
      <c r="C131" s="82" t="s">
        <v>176</v>
      </c>
      <c r="D131" s="82"/>
      <c r="E131" s="197" t="str">
        <f>"(Note "&amp;'Appendix A'!$B$273&amp;")"</f>
        <v>(Note J)</v>
      </c>
      <c r="F131" s="191" t="s">
        <v>450</v>
      </c>
      <c r="G131" s="996">
        <f>N131</f>
        <v>-759378.2</v>
      </c>
      <c r="H131" s="939">
        <v>-1205818</v>
      </c>
      <c r="I131" s="939">
        <v>-563798</v>
      </c>
      <c r="J131" s="939">
        <v>-956740</v>
      </c>
      <c r="K131" s="939">
        <v>-384081</v>
      </c>
      <c r="L131" s="939">
        <v>-686454</v>
      </c>
      <c r="M131" s="938">
        <f>SUM(H131:L131)</f>
        <v>-3796891</v>
      </c>
      <c r="N131" s="947">
        <f>M131/5</f>
        <v>-759378.2</v>
      </c>
      <c r="O131" s="947"/>
      <c r="P131" s="82"/>
      <c r="Q131" s="643"/>
      <c r="S131" s="1076"/>
    </row>
    <row r="132" spans="1:19" ht="15">
      <c r="A132" s="699"/>
      <c r="B132" s="82"/>
      <c r="C132" s="82" t="s">
        <v>177</v>
      </c>
      <c r="D132" s="82"/>
      <c r="E132" s="197" t="str">
        <f>"(Note "&amp;'Appendix A'!$B$273&amp;")"</f>
        <v>(Note J)</v>
      </c>
      <c r="F132" s="191" t="s">
        <v>450</v>
      </c>
      <c r="G132" s="969">
        <f>SUM(G130:G131)</f>
        <v>22376658.8</v>
      </c>
      <c r="H132" s="82"/>
      <c r="I132" s="82"/>
      <c r="J132" s="82"/>
      <c r="K132" s="82"/>
      <c r="L132" s="82"/>
      <c r="M132" s="82"/>
      <c r="N132" s="82"/>
      <c r="O132" s="82"/>
      <c r="P132" s="82"/>
      <c r="Q132" s="643"/>
      <c r="S132" s="1076"/>
    </row>
    <row r="133" spans="1:19" ht="15.75" thickBot="1">
      <c r="A133" s="707"/>
      <c r="B133" s="670"/>
      <c r="C133" s="670"/>
      <c r="D133" s="670"/>
      <c r="E133" s="670"/>
      <c r="F133" s="670"/>
      <c r="G133" s="707"/>
      <c r="H133" s="670"/>
      <c r="I133" s="670"/>
      <c r="J133" s="670"/>
      <c r="K133" s="670"/>
      <c r="L133" s="670"/>
      <c r="M133" s="670"/>
      <c r="N133" s="670"/>
      <c r="O133" s="670"/>
      <c r="P133" s="670"/>
      <c r="Q133" s="708"/>
      <c r="S133" s="1076"/>
    </row>
  </sheetData>
  <sheetProtection/>
  <mergeCells count="54">
    <mergeCell ref="A124:F124"/>
    <mergeCell ref="H122:M122"/>
    <mergeCell ref="A122:F122"/>
    <mergeCell ref="H71:Q71"/>
    <mergeCell ref="H73:Q73"/>
    <mergeCell ref="H108:Q108"/>
    <mergeCell ref="J97:Q97"/>
    <mergeCell ref="H74:Q74"/>
    <mergeCell ref="H72:Q72"/>
    <mergeCell ref="N81:Q81"/>
    <mergeCell ref="H90:Q90"/>
    <mergeCell ref="H88:Q88"/>
    <mergeCell ref="H119:Q119"/>
    <mergeCell ref="H92:Q92"/>
    <mergeCell ref="J102:Q102"/>
    <mergeCell ref="H111:Q111"/>
    <mergeCell ref="J99:Q99"/>
    <mergeCell ref="H117:Q117"/>
    <mergeCell ref="H106:Q106"/>
    <mergeCell ref="A117:F117"/>
    <mergeCell ref="A106:F106"/>
    <mergeCell ref="A81:F81"/>
    <mergeCell ref="A97:F97"/>
    <mergeCell ref="A88:F88"/>
    <mergeCell ref="A62:F62"/>
    <mergeCell ref="A6:F6"/>
    <mergeCell ref="J6:Q6"/>
    <mergeCell ref="J8:Q8"/>
    <mergeCell ref="K13:Q13"/>
    <mergeCell ref="A13:F13"/>
    <mergeCell ref="A56:F56"/>
    <mergeCell ref="A49:F49"/>
    <mergeCell ref="L49:Q49"/>
    <mergeCell ref="L51:Q51"/>
    <mergeCell ref="L52:Q52"/>
    <mergeCell ref="H70:Q70"/>
    <mergeCell ref="J9:Q9"/>
    <mergeCell ref="J45:Q45"/>
    <mergeCell ref="J56:Q56"/>
    <mergeCell ref="J58:Q58"/>
    <mergeCell ref="H62:Q62"/>
    <mergeCell ref="H64:Q64"/>
    <mergeCell ref="H66:Q66"/>
    <mergeCell ref="H67:Q67"/>
    <mergeCell ref="H69:Q69"/>
    <mergeCell ref="A27:F27"/>
    <mergeCell ref="J32:Q32"/>
    <mergeCell ref="A37:F37"/>
    <mergeCell ref="A43:F43"/>
    <mergeCell ref="J27:Q27"/>
    <mergeCell ref="J28:Q28"/>
    <mergeCell ref="J37:Q37"/>
    <mergeCell ref="J39:Q39"/>
    <mergeCell ref="J43:Q43"/>
  </mergeCells>
  <printOptions horizontalCentered="1"/>
  <pageMargins left="0.25" right="0.25" top="0.5" bottom="0.5" header="0.5" footer="0.5"/>
  <pageSetup fitToHeight="0" fitToWidth="1" horizontalDpi="600" verticalDpi="600" orientation="landscape" scale="42" r:id="rId1"/>
  <headerFooter alignWithMargins="0">
    <oddHeader>&amp;R&amp;14Exhibit 1
Page &amp;P of &amp;N</oddHeader>
    <oddFooter>&amp;C
</oddFooter>
  </headerFooter>
  <rowBreaks count="1" manualBreakCount="1">
    <brk id="60" max="255" man="1"/>
  </rowBreaks>
</worksheet>
</file>

<file path=xl/worksheets/sheet7.xml><?xml version="1.0" encoding="utf-8"?>
<worksheet xmlns="http://schemas.openxmlformats.org/spreadsheetml/2006/main" xmlns:r="http://schemas.openxmlformats.org/officeDocument/2006/relationships">
  <sheetPr codeName="Sheet7">
    <pageSetUpPr fitToPage="1"/>
  </sheetPr>
  <dimension ref="A1:AK359"/>
  <sheetViews>
    <sheetView showGridLines="0" zoomScaleSheetLayoutView="75" workbookViewId="0" topLeftCell="A1">
      <selection activeCell="A1" sqref="A1:J1"/>
    </sheetView>
  </sheetViews>
  <sheetFormatPr defaultColWidth="9.140625" defaultRowHeight="12.75"/>
  <cols>
    <col min="1" max="1" width="4.140625" style="806" customWidth="1"/>
    <col min="2" max="2" width="4.7109375" style="806" customWidth="1"/>
    <col min="3" max="3" width="5.00390625" style="806" bestFit="1" customWidth="1"/>
    <col min="4" max="5" width="22.7109375" style="804" customWidth="1"/>
    <col min="6" max="6" width="16.28125" style="804" bestFit="1" customWidth="1"/>
    <col min="7" max="7" width="19.57421875" style="804" customWidth="1"/>
    <col min="8" max="8" width="18.140625" style="804" bestFit="1" customWidth="1"/>
    <col min="9" max="9" width="15.421875" style="804" bestFit="1" customWidth="1"/>
    <col min="10" max="10" width="16.8515625" style="804" bestFit="1" customWidth="1"/>
    <col min="11" max="11" width="11.421875" style="804" customWidth="1"/>
    <col min="12" max="12" width="14.57421875" style="804" bestFit="1" customWidth="1"/>
    <col min="13" max="13" width="12.140625" style="804" bestFit="1" customWidth="1"/>
    <col min="14" max="14" width="16.57421875" style="804" customWidth="1"/>
    <col min="15" max="15" width="12.140625" style="804" bestFit="1" customWidth="1"/>
    <col min="16" max="16" width="15.421875" style="804" bestFit="1" customWidth="1"/>
    <col min="17" max="17" width="11.8515625" style="804" bestFit="1" customWidth="1"/>
    <col min="18" max="18" width="14.57421875" style="804" bestFit="1" customWidth="1"/>
    <col min="19" max="19" width="12.7109375" style="804" customWidth="1"/>
    <col min="20" max="21" width="12.140625" style="804" bestFit="1" customWidth="1"/>
    <col min="22" max="22" width="12.00390625" style="804" bestFit="1" customWidth="1"/>
    <col min="23" max="23" width="11.8515625" style="804" bestFit="1" customWidth="1"/>
    <col min="24" max="24" width="11.28125" style="804" customWidth="1"/>
    <col min="25" max="26" width="15.00390625" style="804" bestFit="1" customWidth="1"/>
    <col min="27" max="27" width="15.00390625" style="804" customWidth="1"/>
    <col min="28" max="37" width="9.140625" style="804" customWidth="1"/>
    <col min="38" max="16384" width="9.140625" style="804" customWidth="1"/>
  </cols>
  <sheetData>
    <row r="1" spans="1:10" ht="18">
      <c r="A1" s="1157" t="str">
        <f>+'Appendix A'!A3</f>
        <v>PPL Electric Utilities Corporation</v>
      </c>
      <c r="B1" s="1158"/>
      <c r="C1" s="1158"/>
      <c r="D1" s="1158"/>
      <c r="E1" s="1158"/>
      <c r="F1" s="1158"/>
      <c r="G1" s="1158"/>
      <c r="H1" s="1158"/>
      <c r="I1" s="1158"/>
      <c r="J1" s="1158"/>
    </row>
    <row r="2" ht="12.75">
      <c r="A2" s="805"/>
    </row>
    <row r="3" spans="1:10" ht="18">
      <c r="A3" s="1159" t="s">
        <v>489</v>
      </c>
      <c r="B3" s="1159"/>
      <c r="C3" s="1159"/>
      <c r="D3" s="1159"/>
      <c r="E3" s="1159"/>
      <c r="F3" s="1159"/>
      <c r="G3" s="1159"/>
      <c r="H3" s="1159"/>
      <c r="I3" s="1160"/>
      <c r="J3" s="1160"/>
    </row>
    <row r="4" ht="12.75"/>
    <row r="5" ht="16.5">
      <c r="J5" s="807"/>
    </row>
    <row r="6" spans="1:29" ht="13.5">
      <c r="A6" s="808" t="s">
        <v>195</v>
      </c>
      <c r="B6" s="808" t="s">
        <v>196</v>
      </c>
      <c r="C6" s="808" t="s">
        <v>197</v>
      </c>
      <c r="D6" s="808" t="s">
        <v>198</v>
      </c>
      <c r="E6" s="809"/>
      <c r="F6" s="809"/>
      <c r="G6" s="809"/>
      <c r="H6" s="809"/>
      <c r="I6" s="809"/>
      <c r="J6" s="809"/>
      <c r="K6" s="809"/>
      <c r="L6" s="809"/>
      <c r="M6" s="809"/>
      <c r="N6" s="809"/>
      <c r="O6" s="809"/>
      <c r="P6" s="809"/>
      <c r="Q6" s="809"/>
      <c r="R6" s="809"/>
      <c r="S6" s="809"/>
      <c r="T6" s="809"/>
      <c r="U6" s="809"/>
      <c r="V6" s="809"/>
      <c r="W6" s="809"/>
      <c r="X6" s="809"/>
      <c r="Y6" s="809"/>
      <c r="Z6" s="809"/>
      <c r="AA6" s="809"/>
      <c r="AB6" s="809"/>
      <c r="AC6" s="810"/>
    </row>
    <row r="7" spans="2:29" ht="13.5">
      <c r="B7" s="808"/>
      <c r="C7" s="808"/>
      <c r="D7" s="809"/>
      <c r="E7" s="809"/>
      <c r="F7" s="809"/>
      <c r="G7" s="809"/>
      <c r="H7" s="809"/>
      <c r="I7" s="809"/>
      <c r="J7" s="809"/>
      <c r="K7" s="809"/>
      <c r="L7" s="809"/>
      <c r="M7" s="809"/>
      <c r="N7" s="809"/>
      <c r="O7" s="809"/>
      <c r="P7" s="809"/>
      <c r="Q7" s="809"/>
      <c r="R7" s="809"/>
      <c r="S7" s="809"/>
      <c r="T7" s="809"/>
      <c r="U7" s="809"/>
      <c r="V7" s="809"/>
      <c r="W7" s="809"/>
      <c r="X7" s="809"/>
      <c r="Y7" s="809"/>
      <c r="Z7" s="809"/>
      <c r="AA7" s="809"/>
      <c r="AB7" s="809"/>
      <c r="AC7" s="810"/>
    </row>
    <row r="8" spans="1:29" ht="13.5">
      <c r="A8" s="811" t="s">
        <v>199</v>
      </c>
      <c r="B8" s="808"/>
      <c r="C8" s="808"/>
      <c r="D8" s="809"/>
      <c r="E8" s="809"/>
      <c r="F8" s="809"/>
      <c r="G8" s="809"/>
      <c r="H8" s="809"/>
      <c r="I8" s="809"/>
      <c r="J8" s="809"/>
      <c r="K8" s="809"/>
      <c r="L8" s="809"/>
      <c r="M8" s="809"/>
      <c r="N8" s="809"/>
      <c r="O8" s="809"/>
      <c r="P8" s="809"/>
      <c r="Q8" s="809"/>
      <c r="R8" s="809"/>
      <c r="S8" s="809"/>
      <c r="T8" s="809"/>
      <c r="U8" s="809"/>
      <c r="V8" s="809"/>
      <c r="W8" s="809"/>
      <c r="X8" s="809"/>
      <c r="Y8" s="809"/>
      <c r="Z8" s="809"/>
      <c r="AA8" s="809"/>
      <c r="AB8" s="809"/>
      <c r="AC8" s="810"/>
    </row>
    <row r="9" spans="1:29" ht="13.5">
      <c r="A9" s="808">
        <v>1</v>
      </c>
      <c r="B9" s="808" t="s">
        <v>200</v>
      </c>
      <c r="C9" s="812" t="s">
        <v>191</v>
      </c>
      <c r="D9" s="813" t="s">
        <v>580</v>
      </c>
      <c r="E9" s="809"/>
      <c r="F9" s="809"/>
      <c r="G9" s="809"/>
      <c r="H9" s="809"/>
      <c r="I9" s="809"/>
      <c r="J9" s="809"/>
      <c r="K9" s="809"/>
      <c r="L9" s="809"/>
      <c r="M9" s="809"/>
      <c r="N9" s="809"/>
      <c r="O9" s="809"/>
      <c r="P9" s="809"/>
      <c r="Q9" s="809"/>
      <c r="R9" s="809"/>
      <c r="S9" s="809"/>
      <c r="T9" s="809"/>
      <c r="U9" s="809"/>
      <c r="V9" s="809"/>
      <c r="W9" s="809"/>
      <c r="X9" s="809"/>
      <c r="Y9" s="809"/>
      <c r="Z9" s="809"/>
      <c r="AA9" s="809"/>
      <c r="AB9" s="809"/>
      <c r="AC9" s="810"/>
    </row>
    <row r="10" spans="1:29" ht="13.5">
      <c r="A10" s="808">
        <v>2</v>
      </c>
      <c r="B10" s="808" t="str">
        <f>+B9</f>
        <v>April</v>
      </c>
      <c r="C10" s="812" t="str">
        <f>+C9</f>
        <v>Year 2</v>
      </c>
      <c r="D10" s="813" t="s">
        <v>581</v>
      </c>
      <c r="E10" s="809"/>
      <c r="F10" s="809"/>
      <c r="G10" s="809"/>
      <c r="H10" s="809"/>
      <c r="I10" s="809"/>
      <c r="J10" s="809"/>
      <c r="K10" s="809"/>
      <c r="L10" s="809"/>
      <c r="M10" s="809"/>
      <c r="N10" s="809"/>
      <c r="O10" s="809"/>
      <c r="P10" s="809"/>
      <c r="Q10" s="809"/>
      <c r="R10" s="809"/>
      <c r="S10" s="809"/>
      <c r="T10" s="809"/>
      <c r="U10" s="809"/>
      <c r="V10" s="809"/>
      <c r="W10" s="809"/>
      <c r="X10" s="809"/>
      <c r="Y10" s="809"/>
      <c r="Z10" s="809"/>
      <c r="AA10" s="809"/>
      <c r="AB10" s="809"/>
      <c r="AC10" s="810"/>
    </row>
    <row r="11" spans="1:29" ht="13.5">
      <c r="A11" s="808">
        <v>3</v>
      </c>
      <c r="B11" s="808" t="s">
        <v>200</v>
      </c>
      <c r="C11" s="812" t="str">
        <f>+C10</f>
        <v>Year 2</v>
      </c>
      <c r="D11" s="813" t="s">
        <v>112</v>
      </c>
      <c r="E11" s="809"/>
      <c r="F11" s="809"/>
      <c r="G11" s="809"/>
      <c r="H11" s="809"/>
      <c r="I11" s="809"/>
      <c r="J11" s="809"/>
      <c r="K11" s="809"/>
      <c r="L11" s="809"/>
      <c r="M11" s="809"/>
      <c r="N11" s="809"/>
      <c r="O11" s="809"/>
      <c r="P11" s="809"/>
      <c r="Q11" s="809"/>
      <c r="R11" s="809"/>
      <c r="S11" s="809"/>
      <c r="T11" s="809"/>
      <c r="U11" s="809"/>
      <c r="V11" s="809"/>
      <c r="W11" s="809"/>
      <c r="X11" s="809"/>
      <c r="Y11" s="809"/>
      <c r="Z11" s="809"/>
      <c r="AA11" s="809"/>
      <c r="AB11" s="809"/>
      <c r="AC11" s="810"/>
    </row>
    <row r="12" spans="1:29" ht="13.5">
      <c r="A12" s="808">
        <v>4</v>
      </c>
      <c r="B12" s="808" t="s">
        <v>204</v>
      </c>
      <c r="C12" s="812" t="str">
        <f>+C11</f>
        <v>Year 2</v>
      </c>
      <c r="D12" s="813" t="s">
        <v>304</v>
      </c>
      <c r="E12" s="809"/>
      <c r="F12" s="809"/>
      <c r="G12" s="809"/>
      <c r="H12" s="809"/>
      <c r="I12" s="809"/>
      <c r="J12" s="809"/>
      <c r="K12" s="809"/>
      <c r="L12" s="809"/>
      <c r="M12" s="809"/>
      <c r="N12" s="809"/>
      <c r="O12" s="809"/>
      <c r="P12" s="809"/>
      <c r="Q12" s="809"/>
      <c r="R12" s="809"/>
      <c r="S12" s="809"/>
      <c r="T12" s="809"/>
      <c r="U12" s="809"/>
      <c r="V12" s="809"/>
      <c r="W12" s="809"/>
      <c r="X12" s="809"/>
      <c r="Y12" s="809"/>
      <c r="Z12" s="809"/>
      <c r="AA12" s="809"/>
      <c r="AB12" s="809"/>
      <c r="AC12" s="810"/>
    </row>
    <row r="13" spans="1:29" ht="13.5">
      <c r="A13" s="808">
        <v>5</v>
      </c>
      <c r="B13" s="814" t="s">
        <v>205</v>
      </c>
      <c r="C13" s="812" t="str">
        <f>+C12</f>
        <v>Year 2</v>
      </c>
      <c r="D13" s="813" t="s">
        <v>582</v>
      </c>
      <c r="E13" s="809"/>
      <c r="F13" s="809"/>
      <c r="G13" s="809"/>
      <c r="H13" s="809"/>
      <c r="I13" s="809"/>
      <c r="J13" s="809"/>
      <c r="K13" s="809"/>
      <c r="L13" s="809"/>
      <c r="M13" s="809"/>
      <c r="N13" s="809"/>
      <c r="O13" s="809"/>
      <c r="P13" s="809"/>
      <c r="Q13" s="809"/>
      <c r="R13" s="809"/>
      <c r="S13" s="809"/>
      <c r="T13" s="809"/>
      <c r="U13" s="809"/>
      <c r="V13" s="809"/>
      <c r="W13" s="809"/>
      <c r="X13" s="809"/>
      <c r="Y13" s="809"/>
      <c r="Z13" s="809"/>
      <c r="AA13" s="809"/>
      <c r="AB13" s="809"/>
      <c r="AC13" s="810"/>
    </row>
    <row r="14" spans="1:29" ht="13.5">
      <c r="A14" s="808"/>
      <c r="B14" s="808"/>
      <c r="C14" s="812"/>
      <c r="D14" s="813"/>
      <c r="E14" s="809"/>
      <c r="F14" s="809"/>
      <c r="G14" s="809"/>
      <c r="H14" s="809"/>
      <c r="I14" s="809"/>
      <c r="J14" s="809"/>
      <c r="K14" s="809"/>
      <c r="L14" s="809"/>
      <c r="M14" s="809"/>
      <c r="N14" s="809"/>
      <c r="O14" s="809"/>
      <c r="P14" s="809"/>
      <c r="Q14" s="809"/>
      <c r="R14" s="809"/>
      <c r="S14" s="809"/>
      <c r="T14" s="809"/>
      <c r="U14" s="809"/>
      <c r="V14" s="809"/>
      <c r="W14" s="809"/>
      <c r="X14" s="809"/>
      <c r="Y14" s="809"/>
      <c r="Z14" s="809"/>
      <c r="AA14" s="809"/>
      <c r="AB14" s="809"/>
      <c r="AC14" s="810"/>
    </row>
    <row r="15" spans="1:29" ht="13.5">
      <c r="A15" s="808">
        <v>6</v>
      </c>
      <c r="B15" s="808" t="str">
        <f>+B9</f>
        <v>April</v>
      </c>
      <c r="C15" s="812" t="s">
        <v>193</v>
      </c>
      <c r="D15" s="813" t="s">
        <v>583</v>
      </c>
      <c r="E15" s="809"/>
      <c r="F15" s="809"/>
      <c r="G15" s="809"/>
      <c r="H15" s="809"/>
      <c r="I15" s="809"/>
      <c r="J15" s="809"/>
      <c r="K15" s="809"/>
      <c r="L15" s="809"/>
      <c r="M15" s="809"/>
      <c r="N15" s="809"/>
      <c r="O15" s="809"/>
      <c r="P15" s="809"/>
      <c r="Q15" s="809"/>
      <c r="R15" s="809"/>
      <c r="S15" s="809"/>
      <c r="T15" s="809"/>
      <c r="U15" s="809"/>
      <c r="V15" s="809"/>
      <c r="W15" s="809"/>
      <c r="X15" s="809"/>
      <c r="Y15" s="809"/>
      <c r="Z15" s="809"/>
      <c r="AA15" s="809"/>
      <c r="AB15" s="809"/>
      <c r="AC15" s="810"/>
    </row>
    <row r="16" spans="1:29" ht="13.5">
      <c r="A16" s="808">
        <v>7</v>
      </c>
      <c r="B16" s="808" t="str">
        <f>+B18</f>
        <v>April</v>
      </c>
      <c r="C16" s="812" t="str">
        <f>+C18</f>
        <v>Year 3</v>
      </c>
      <c r="D16" s="813" t="s">
        <v>113</v>
      </c>
      <c r="E16" s="815"/>
      <c r="F16" s="815"/>
      <c r="G16" s="815"/>
      <c r="H16" s="815"/>
      <c r="I16" s="815"/>
      <c r="J16" s="815"/>
      <c r="K16" s="809"/>
      <c r="L16" s="809"/>
      <c r="M16" s="809"/>
      <c r="N16" s="809"/>
      <c r="O16" s="809"/>
      <c r="P16" s="809"/>
      <c r="Q16" s="809"/>
      <c r="R16" s="809"/>
      <c r="S16" s="809"/>
      <c r="T16" s="809"/>
      <c r="U16" s="809"/>
      <c r="V16" s="809"/>
      <c r="W16" s="809"/>
      <c r="X16" s="809"/>
      <c r="Y16" s="809"/>
      <c r="Z16" s="809"/>
      <c r="AA16" s="809"/>
      <c r="AB16" s="809"/>
      <c r="AC16" s="810"/>
    </row>
    <row r="17" spans="1:29" ht="13.5">
      <c r="A17" s="808"/>
      <c r="B17" s="808"/>
      <c r="C17" s="812"/>
      <c r="D17" s="813" t="s">
        <v>114</v>
      </c>
      <c r="E17" s="815"/>
      <c r="F17" s="815"/>
      <c r="G17" s="815"/>
      <c r="H17" s="815"/>
      <c r="I17" s="815"/>
      <c r="J17" s="815"/>
      <c r="K17" s="809"/>
      <c r="L17" s="809"/>
      <c r="M17" s="809"/>
      <c r="N17" s="809"/>
      <c r="O17" s="809"/>
      <c r="P17" s="809"/>
      <c r="Q17" s="809"/>
      <c r="R17" s="809"/>
      <c r="S17" s="809"/>
      <c r="T17" s="809"/>
      <c r="U17" s="809"/>
      <c r="V17" s="809"/>
      <c r="W17" s="809"/>
      <c r="X17" s="809"/>
      <c r="Y17" s="809"/>
      <c r="Z17" s="809"/>
      <c r="AA17" s="809"/>
      <c r="AB17" s="809"/>
      <c r="AC17" s="810"/>
    </row>
    <row r="18" spans="1:29" ht="13.5">
      <c r="A18" s="808">
        <v>8</v>
      </c>
      <c r="B18" s="808" t="str">
        <f>+B15</f>
        <v>April</v>
      </c>
      <c r="C18" s="812" t="str">
        <f>+C15</f>
        <v>Year 3</v>
      </c>
      <c r="D18" s="813" t="s">
        <v>585</v>
      </c>
      <c r="E18" s="809"/>
      <c r="F18" s="809"/>
      <c r="G18" s="809"/>
      <c r="H18" s="809"/>
      <c r="I18" s="809"/>
      <c r="J18" s="809"/>
      <c r="K18" s="809"/>
      <c r="L18" s="809"/>
      <c r="M18" s="809"/>
      <c r="N18" s="809"/>
      <c r="O18" s="809"/>
      <c r="P18" s="809"/>
      <c r="Q18" s="809"/>
      <c r="R18" s="809"/>
      <c r="S18" s="809"/>
      <c r="T18" s="809"/>
      <c r="U18" s="809"/>
      <c r="V18" s="809"/>
      <c r="W18" s="809"/>
      <c r="X18" s="809"/>
      <c r="Y18" s="809"/>
      <c r="Z18" s="809"/>
      <c r="AA18" s="809"/>
      <c r="AB18" s="809"/>
      <c r="AC18" s="810"/>
    </row>
    <row r="19" spans="1:29" ht="13.5">
      <c r="A19" s="808">
        <v>9</v>
      </c>
      <c r="B19" s="808" t="str">
        <f>+B16</f>
        <v>April</v>
      </c>
      <c r="C19" s="812" t="str">
        <f>+C16</f>
        <v>Year 3</v>
      </c>
      <c r="D19" s="813" t="s">
        <v>115</v>
      </c>
      <c r="E19" s="809"/>
      <c r="F19" s="809"/>
      <c r="G19" s="809"/>
      <c r="H19" s="809"/>
      <c r="I19" s="809"/>
      <c r="J19" s="809"/>
      <c r="K19" s="809"/>
      <c r="L19" s="809"/>
      <c r="M19" s="809"/>
      <c r="N19" s="809"/>
      <c r="O19" s="809"/>
      <c r="P19" s="809"/>
      <c r="Q19" s="809"/>
      <c r="R19" s="809"/>
      <c r="S19" s="809"/>
      <c r="T19" s="809"/>
      <c r="U19" s="809"/>
      <c r="V19" s="809"/>
      <c r="W19" s="809"/>
      <c r="X19" s="809"/>
      <c r="Y19" s="809"/>
      <c r="Z19" s="809"/>
      <c r="AA19" s="809"/>
      <c r="AB19" s="809"/>
      <c r="AC19" s="810"/>
    </row>
    <row r="20" spans="1:29" ht="13.5">
      <c r="A20" s="808">
        <v>10</v>
      </c>
      <c r="B20" s="808" t="str">
        <f>+B12</f>
        <v>May</v>
      </c>
      <c r="C20" s="812" t="str">
        <f>+C19</f>
        <v>Year 3</v>
      </c>
      <c r="D20" s="813" t="s">
        <v>272</v>
      </c>
      <c r="E20" s="809"/>
      <c r="F20" s="809"/>
      <c r="G20" s="809"/>
      <c r="H20" s="809"/>
      <c r="I20" s="809"/>
      <c r="J20" s="809"/>
      <c r="K20" s="809"/>
      <c r="L20" s="809"/>
      <c r="M20" s="809"/>
      <c r="N20" s="809"/>
      <c r="O20" s="809"/>
      <c r="P20" s="809"/>
      <c r="Q20" s="809"/>
      <c r="R20" s="809"/>
      <c r="S20" s="809"/>
      <c r="T20" s="809"/>
      <c r="U20" s="809"/>
      <c r="V20" s="809"/>
      <c r="W20" s="809"/>
      <c r="X20" s="809"/>
      <c r="Y20" s="809"/>
      <c r="Z20" s="809"/>
      <c r="AA20" s="809"/>
      <c r="AB20" s="809"/>
      <c r="AC20" s="810"/>
    </row>
    <row r="21" spans="1:29" ht="13.5">
      <c r="A21" s="808">
        <v>11</v>
      </c>
      <c r="B21" s="814" t="str">
        <f>+B13</f>
        <v>June</v>
      </c>
      <c r="C21" s="812" t="str">
        <f>+C20</f>
        <v>Year 3</v>
      </c>
      <c r="D21" s="813" t="s">
        <v>586</v>
      </c>
      <c r="E21" s="809"/>
      <c r="F21" s="809"/>
      <c r="G21" s="809"/>
      <c r="H21" s="809"/>
      <c r="I21" s="809"/>
      <c r="J21" s="809"/>
      <c r="K21" s="809"/>
      <c r="L21" s="809"/>
      <c r="M21" s="809"/>
      <c r="N21" s="809"/>
      <c r="O21" s="809"/>
      <c r="P21" s="809"/>
      <c r="Q21" s="809"/>
      <c r="R21" s="809"/>
      <c r="S21" s="809"/>
      <c r="T21" s="809"/>
      <c r="U21" s="809"/>
      <c r="V21" s="809"/>
      <c r="W21" s="809"/>
      <c r="X21" s="809"/>
      <c r="Y21" s="809"/>
      <c r="Z21" s="809"/>
      <c r="AA21" s="809"/>
      <c r="AB21" s="809"/>
      <c r="AC21" s="810"/>
    </row>
    <row r="22" spans="1:29" ht="13.5">
      <c r="A22" s="808"/>
      <c r="B22" s="814"/>
      <c r="C22" s="808"/>
      <c r="D22" s="813"/>
      <c r="E22" s="809"/>
      <c r="F22" s="809"/>
      <c r="G22" s="809"/>
      <c r="H22" s="809"/>
      <c r="I22" s="809"/>
      <c r="J22" s="809"/>
      <c r="K22" s="809"/>
      <c r="L22" s="809"/>
      <c r="M22" s="809"/>
      <c r="N22" s="809"/>
      <c r="O22" s="809"/>
      <c r="P22" s="809"/>
      <c r="Q22" s="809"/>
      <c r="R22" s="809"/>
      <c r="S22" s="809"/>
      <c r="T22" s="809"/>
      <c r="U22" s="809"/>
      <c r="V22" s="809"/>
      <c r="W22" s="809"/>
      <c r="X22" s="809"/>
      <c r="Y22" s="809"/>
      <c r="Z22" s="809"/>
      <c r="AA22" s="809"/>
      <c r="AB22" s="809"/>
      <c r="AC22" s="810"/>
    </row>
    <row r="23" spans="1:29" ht="13.5">
      <c r="A23" s="816"/>
      <c r="B23" s="812"/>
      <c r="C23" s="808"/>
      <c r="D23" s="817"/>
      <c r="E23" s="809"/>
      <c r="F23" s="809"/>
      <c r="G23" s="809"/>
      <c r="H23" s="809"/>
      <c r="I23" s="809"/>
      <c r="J23" s="809"/>
      <c r="K23" s="809"/>
      <c r="L23" s="809"/>
      <c r="M23" s="809"/>
      <c r="N23" s="809"/>
      <c r="O23" s="809"/>
      <c r="P23" s="809"/>
      <c r="Q23" s="809"/>
      <c r="R23" s="809"/>
      <c r="S23" s="809"/>
      <c r="T23" s="809"/>
      <c r="U23" s="809"/>
      <c r="V23" s="809"/>
      <c r="W23" s="809"/>
      <c r="X23" s="809"/>
      <c r="Y23" s="809"/>
      <c r="Z23" s="809"/>
      <c r="AA23" s="809"/>
      <c r="AB23" s="809"/>
      <c r="AC23" s="810"/>
    </row>
    <row r="24" spans="1:29" ht="13.5">
      <c r="A24" s="808">
        <f>+A9</f>
        <v>1</v>
      </c>
      <c r="B24" s="808" t="str">
        <f>+B9</f>
        <v>April</v>
      </c>
      <c r="C24" s="808" t="str">
        <f>+C9</f>
        <v>Year 2</v>
      </c>
      <c r="D24" s="809" t="str">
        <f>+D9</f>
        <v>TO populates the formula with Year 1 data from FERC Form No. 1 data for Year 1 (e.g., 2007)</v>
      </c>
      <c r="E24" s="809"/>
      <c r="F24" s="809"/>
      <c r="G24" s="809"/>
      <c r="H24" s="809"/>
      <c r="I24" s="809"/>
      <c r="K24" s="809"/>
      <c r="L24" s="809"/>
      <c r="M24" s="809"/>
      <c r="N24" s="809"/>
      <c r="O24" s="809"/>
      <c r="P24" s="809"/>
      <c r="Q24" s="809"/>
      <c r="R24" s="809"/>
      <c r="S24" s="809"/>
      <c r="T24" s="809"/>
      <c r="U24" s="809"/>
      <c r="V24" s="809"/>
      <c r="W24" s="809"/>
      <c r="X24" s="809"/>
      <c r="Y24" s="809"/>
      <c r="Z24" s="809"/>
      <c r="AA24" s="809"/>
      <c r="AB24" s="809"/>
      <c r="AC24" s="810"/>
    </row>
    <row r="25" spans="1:29" ht="13.5">
      <c r="A25" s="808"/>
      <c r="B25" s="808"/>
      <c r="C25" s="808"/>
      <c r="D25" s="953">
        <v>232000664</v>
      </c>
      <c r="E25" s="809" t="s">
        <v>169</v>
      </c>
      <c r="F25" s="809"/>
      <c r="G25" s="819" t="s">
        <v>154</v>
      </c>
      <c r="H25" s="809"/>
      <c r="I25" s="809"/>
      <c r="J25" s="809"/>
      <c r="K25" s="809"/>
      <c r="L25" s="809"/>
      <c r="M25" s="809"/>
      <c r="N25" s="809"/>
      <c r="O25" s="809"/>
      <c r="P25" s="809"/>
      <c r="Q25" s="809"/>
      <c r="R25" s="809"/>
      <c r="S25" s="809"/>
      <c r="T25" s="809"/>
      <c r="U25" s="809"/>
      <c r="V25" s="809"/>
      <c r="W25" s="809"/>
      <c r="X25" s="809"/>
      <c r="Y25" s="809"/>
      <c r="Z25" s="809"/>
      <c r="AA25" s="809"/>
      <c r="AB25" s="809"/>
      <c r="AC25" s="810"/>
    </row>
    <row r="26" spans="1:29" ht="13.5">
      <c r="A26" s="808"/>
      <c r="B26" s="808"/>
      <c r="C26" s="808"/>
      <c r="D26" s="809"/>
      <c r="E26" s="809"/>
      <c r="F26" s="809"/>
      <c r="G26" s="809"/>
      <c r="H26" s="809"/>
      <c r="I26" s="809"/>
      <c r="J26" s="809"/>
      <c r="K26" s="809"/>
      <c r="L26" s="809"/>
      <c r="M26" s="809"/>
      <c r="N26" s="809"/>
      <c r="O26" s="809"/>
      <c r="P26" s="809"/>
      <c r="Q26" s="809"/>
      <c r="R26" s="809"/>
      <c r="S26" s="809"/>
      <c r="T26" s="809"/>
      <c r="U26" s="809"/>
      <c r="V26" s="809"/>
      <c r="W26" s="809"/>
      <c r="X26" s="809"/>
      <c r="Y26" s="809"/>
      <c r="Z26" s="809"/>
      <c r="AA26" s="809"/>
      <c r="AB26" s="809"/>
      <c r="AC26" s="810"/>
    </row>
    <row r="27" spans="1:29" ht="13.5">
      <c r="A27" s="808">
        <v>2</v>
      </c>
      <c r="B27" s="808" t="str">
        <f>+B24</f>
        <v>April</v>
      </c>
      <c r="C27" s="808" t="str">
        <f>+C24</f>
        <v>Year 2</v>
      </c>
      <c r="D27" s="813" t="str">
        <f>+D10</f>
        <v>TO estimates all transmission Cap Adds and CWIP for Year 2 weighted based on Months expected to be in service in Year 2 (e.g., 2008)</v>
      </c>
      <c r="E27" s="809"/>
      <c r="F27" s="809"/>
      <c r="G27" s="809"/>
      <c r="H27" s="809"/>
      <c r="I27" s="809"/>
      <c r="K27" s="809"/>
      <c r="L27" s="809"/>
      <c r="M27" s="809"/>
      <c r="N27" s="809"/>
      <c r="O27" s="809"/>
      <c r="P27" s="809"/>
      <c r="Q27" s="809"/>
      <c r="R27" s="809"/>
      <c r="S27" s="809"/>
      <c r="T27" s="809"/>
      <c r="U27" s="809"/>
      <c r="V27" s="809"/>
      <c r="W27" s="809"/>
      <c r="X27" s="809"/>
      <c r="Y27" s="809"/>
      <c r="Z27" s="809"/>
      <c r="AA27" s="809"/>
      <c r="AB27" s="809"/>
      <c r="AC27" s="810"/>
    </row>
    <row r="28" spans="1:29" ht="13.5">
      <c r="A28" s="808"/>
      <c r="B28" s="808"/>
      <c r="C28" s="808"/>
      <c r="D28" s="813"/>
      <c r="E28" s="809"/>
      <c r="F28" s="809"/>
      <c r="G28" s="809"/>
      <c r="H28" s="809"/>
      <c r="I28" s="809"/>
      <c r="K28" s="809"/>
      <c r="L28" s="809"/>
      <c r="M28" s="809"/>
      <c r="N28" s="809"/>
      <c r="O28" s="809"/>
      <c r="P28" s="809"/>
      <c r="Q28" s="809"/>
      <c r="R28" s="809"/>
      <c r="S28" s="809"/>
      <c r="T28" s="809"/>
      <c r="U28" s="809"/>
      <c r="V28" s="809"/>
      <c r="W28" s="809"/>
      <c r="X28" s="809"/>
      <c r="Y28" s="809"/>
      <c r="Z28" s="809"/>
      <c r="AA28" s="809"/>
      <c r="AB28" s="809"/>
      <c r="AC28" s="810"/>
    </row>
    <row r="29" spans="1:34" ht="13.5">
      <c r="A29" s="808"/>
      <c r="B29" s="808"/>
      <c r="C29" s="808"/>
      <c r="E29" s="820" t="s">
        <v>310</v>
      </c>
      <c r="F29" s="820" t="s">
        <v>757</v>
      </c>
      <c r="G29" s="820" t="s">
        <v>658</v>
      </c>
      <c r="H29" s="820" t="s">
        <v>116</v>
      </c>
      <c r="I29" s="820" t="s">
        <v>117</v>
      </c>
      <c r="J29" s="820" t="s">
        <v>118</v>
      </c>
      <c r="K29" s="820" t="s">
        <v>119</v>
      </c>
      <c r="L29" s="820" t="s">
        <v>120</v>
      </c>
      <c r="M29" s="820" t="s">
        <v>121</v>
      </c>
      <c r="N29" s="820" t="s">
        <v>122</v>
      </c>
      <c r="O29" s="808" t="s">
        <v>123</v>
      </c>
      <c r="P29" s="808" t="s">
        <v>124</v>
      </c>
      <c r="Q29" s="808" t="s">
        <v>125</v>
      </c>
      <c r="R29" s="808" t="s">
        <v>152</v>
      </c>
      <c r="S29" s="808" t="s">
        <v>2</v>
      </c>
      <c r="T29" s="808" t="s">
        <v>3</v>
      </c>
      <c r="U29" s="808" t="s">
        <v>4</v>
      </c>
      <c r="V29" s="808" t="s">
        <v>5</v>
      </c>
      <c r="W29" s="808" t="s">
        <v>546</v>
      </c>
      <c r="X29" s="809"/>
      <c r="Y29" s="809"/>
      <c r="Z29" s="809"/>
      <c r="AA29" s="809"/>
      <c r="AB29" s="809"/>
      <c r="AC29" s="809"/>
      <c r="AD29" s="809"/>
      <c r="AE29" s="809"/>
      <c r="AF29" s="809"/>
      <c r="AG29" s="809"/>
      <c r="AH29" s="810"/>
    </row>
    <row r="30" spans="1:35" ht="13.5">
      <c r="A30" s="808"/>
      <c r="B30" s="808"/>
      <c r="C30" s="808"/>
      <c r="E30" s="808" t="s">
        <v>126</v>
      </c>
      <c r="F30" s="808" t="s">
        <v>126</v>
      </c>
      <c r="G30" s="808" t="s">
        <v>126</v>
      </c>
      <c r="H30" s="808" t="s">
        <v>126</v>
      </c>
      <c r="I30" s="808" t="s">
        <v>126</v>
      </c>
      <c r="J30" s="808" t="s">
        <v>126</v>
      </c>
      <c r="L30" s="808" t="str">
        <f>+E31</f>
        <v>Other Plant In Service</v>
      </c>
      <c r="M30" s="808" t="s">
        <v>751</v>
      </c>
      <c r="N30" s="808" t="str">
        <f>+G31</f>
        <v>Susq-Rose CWIP</v>
      </c>
      <c r="O30" s="808" t="str">
        <f>+H31</f>
        <v>Susq-Rose PIS</v>
      </c>
      <c r="P30" s="808" t="str">
        <f>+I31</f>
        <v>Susq-Rose CWIP</v>
      </c>
      <c r="Q30" s="808" t="str">
        <f>+J31</f>
        <v>Susq-Rose PIS</v>
      </c>
      <c r="R30" s="808" t="str">
        <f>+E31</f>
        <v>Other Plant In Service</v>
      </c>
      <c r="S30" s="808" t="s">
        <v>751</v>
      </c>
      <c r="T30" s="808" t="str">
        <f>+G31</f>
        <v>Susq-Rose CWIP</v>
      </c>
      <c r="U30" s="808" t="str">
        <f>+H31</f>
        <v>Susq-Rose PIS</v>
      </c>
      <c r="V30" s="808" t="str">
        <f>+I31</f>
        <v>Susq-Rose CWIP</v>
      </c>
      <c r="W30" s="808" t="str">
        <f>+J31</f>
        <v>Susq-Rose PIS</v>
      </c>
      <c r="X30" s="808" t="s">
        <v>476</v>
      </c>
      <c r="Y30" s="809"/>
      <c r="Z30" s="809"/>
      <c r="AA30" s="809"/>
      <c r="AB30" s="809"/>
      <c r="AC30" s="809"/>
      <c r="AD30" s="809"/>
      <c r="AE30" s="809"/>
      <c r="AF30" s="809"/>
      <c r="AG30" s="809"/>
      <c r="AH30" s="809"/>
      <c r="AI30" s="810"/>
    </row>
    <row r="31" spans="1:35" ht="13.5">
      <c r="A31" s="808"/>
      <c r="B31" s="808"/>
      <c r="C31" s="808"/>
      <c r="D31" s="809"/>
      <c r="E31" s="808" t="s">
        <v>127</v>
      </c>
      <c r="F31" s="808" t="s">
        <v>749</v>
      </c>
      <c r="G31" s="808" t="s">
        <v>150</v>
      </c>
      <c r="H31" s="808" t="s">
        <v>151</v>
      </c>
      <c r="I31" s="808" t="s">
        <v>150</v>
      </c>
      <c r="J31" s="808" t="s">
        <v>151</v>
      </c>
      <c r="K31" s="808" t="s">
        <v>206</v>
      </c>
      <c r="L31" s="808" t="s">
        <v>758</v>
      </c>
      <c r="M31" s="808" t="s">
        <v>759</v>
      </c>
      <c r="N31" s="808" t="s">
        <v>760</v>
      </c>
      <c r="O31" s="808" t="s">
        <v>761</v>
      </c>
      <c r="P31" s="808" t="s">
        <v>762</v>
      </c>
      <c r="Q31" s="808" t="s">
        <v>763</v>
      </c>
      <c r="R31" s="808" t="s">
        <v>764</v>
      </c>
      <c r="S31" s="808" t="s">
        <v>128</v>
      </c>
      <c r="T31" s="808" t="s">
        <v>6</v>
      </c>
      <c r="U31" s="808" t="s">
        <v>7</v>
      </c>
      <c r="V31" s="808" t="s">
        <v>8</v>
      </c>
      <c r="W31" s="808" t="s">
        <v>9</v>
      </c>
      <c r="X31" s="809"/>
      <c r="Y31" s="809"/>
      <c r="Z31" s="809"/>
      <c r="AA31" s="809"/>
      <c r="AB31" s="809"/>
      <c r="AC31" s="809"/>
      <c r="AD31" s="809"/>
      <c r="AE31" s="809"/>
      <c r="AF31" s="809"/>
      <c r="AG31" s="809"/>
      <c r="AH31" s="809"/>
      <c r="AI31" s="810"/>
    </row>
    <row r="32" spans="1:35" ht="13.5">
      <c r="A32" s="808"/>
      <c r="B32" s="808"/>
      <c r="C32" s="808"/>
      <c r="D32" s="809"/>
      <c r="E32" s="808"/>
      <c r="F32" s="808" t="s">
        <v>750</v>
      </c>
      <c r="G32" s="808" t="s">
        <v>417</v>
      </c>
      <c r="H32" s="808" t="s">
        <v>417</v>
      </c>
      <c r="I32" s="808" t="s">
        <v>418</v>
      </c>
      <c r="J32" s="808" t="s">
        <v>418</v>
      </c>
      <c r="K32" s="808"/>
      <c r="L32" s="808"/>
      <c r="M32" s="808"/>
      <c r="N32" s="808" t="str">
        <f>G32</f>
        <v>&lt; 500kV (b0487.1)</v>
      </c>
      <c r="O32" s="808" t="str">
        <f>H32</f>
        <v>&lt; 500kV (b0487.1)</v>
      </c>
      <c r="P32" s="808" t="str">
        <f>I32</f>
        <v>&gt;= 500kV (b0487)</v>
      </c>
      <c r="Q32" s="808" t="str">
        <f>J32</f>
        <v>&gt;= 500kV (b0487)</v>
      </c>
      <c r="R32" s="808"/>
      <c r="S32" s="808"/>
      <c r="T32" s="808" t="str">
        <f>N32</f>
        <v>&lt; 500kV (b0487.1)</v>
      </c>
      <c r="U32" s="808" t="str">
        <f>O32</f>
        <v>&lt; 500kV (b0487.1)</v>
      </c>
      <c r="V32" s="808" t="str">
        <f>P32</f>
        <v>&gt;= 500kV (b0487)</v>
      </c>
      <c r="W32" s="808" t="str">
        <f>Q32</f>
        <v>&gt;= 500kV (b0487)</v>
      </c>
      <c r="X32" s="809"/>
      <c r="Y32" s="809"/>
      <c r="Z32" s="809"/>
      <c r="AA32" s="809"/>
      <c r="AB32" s="809"/>
      <c r="AC32" s="809"/>
      <c r="AD32" s="809"/>
      <c r="AE32" s="809"/>
      <c r="AF32" s="809"/>
      <c r="AG32" s="809"/>
      <c r="AH32" s="809"/>
      <c r="AI32" s="810"/>
    </row>
    <row r="33" spans="1:35" ht="13.5">
      <c r="A33" s="808"/>
      <c r="B33" s="808"/>
      <c r="C33" s="808"/>
      <c r="D33" s="809" t="s">
        <v>568</v>
      </c>
      <c r="E33" s="808"/>
      <c r="F33" s="927">
        <v>87069991</v>
      </c>
      <c r="G33" s="858">
        <v>4195098</v>
      </c>
      <c r="H33" s="808"/>
      <c r="I33" s="858">
        <v>345072380</v>
      </c>
      <c r="J33" s="808"/>
      <c r="K33" s="808">
        <v>12</v>
      </c>
      <c r="L33" s="808"/>
      <c r="M33" s="822">
        <f>F33*K33</f>
        <v>1044839892</v>
      </c>
      <c r="N33" s="822">
        <f>G33*K33</f>
        <v>50341176</v>
      </c>
      <c r="O33" s="808"/>
      <c r="P33" s="822">
        <f aca="true" t="shared" si="0" ref="P33:P45">+K33*I33</f>
        <v>4140868560</v>
      </c>
      <c r="Q33" s="808"/>
      <c r="R33" s="808"/>
      <c r="S33" s="817">
        <f aca="true" t="shared" si="1" ref="S33:S45">+M33/12</f>
        <v>87069991</v>
      </c>
      <c r="T33" s="845">
        <f aca="true" t="shared" si="2" ref="T33:T45">+N33/12</f>
        <v>4195098</v>
      </c>
      <c r="U33" s="808"/>
      <c r="V33" s="817">
        <f aca="true" t="shared" si="3" ref="V33:V45">+P33/12</f>
        <v>345072380</v>
      </c>
      <c r="W33" s="808"/>
      <c r="X33" s="809"/>
      <c r="Y33" s="809"/>
      <c r="Z33" s="809"/>
      <c r="AA33" s="809"/>
      <c r="AB33" s="809"/>
      <c r="AC33" s="809"/>
      <c r="AD33" s="809"/>
      <c r="AE33" s="809"/>
      <c r="AF33" s="809"/>
      <c r="AG33" s="809"/>
      <c r="AH33" s="809"/>
      <c r="AI33" s="810"/>
    </row>
    <row r="34" spans="1:35" ht="13.5">
      <c r="A34" s="808"/>
      <c r="B34" s="808"/>
      <c r="C34" s="808"/>
      <c r="D34" s="809" t="s">
        <v>207</v>
      </c>
      <c r="E34" s="821">
        <v>13622126.56</v>
      </c>
      <c r="F34" s="927">
        <v>17262360.02</v>
      </c>
      <c r="G34" s="821">
        <v>160988</v>
      </c>
      <c r="H34" s="821">
        <v>46877.979999999996</v>
      </c>
      <c r="I34" s="821">
        <v>2394758</v>
      </c>
      <c r="J34" s="821">
        <v>132364</v>
      </c>
      <c r="K34" s="808">
        <v>11.5</v>
      </c>
      <c r="L34" s="822">
        <f aca="true" t="shared" si="4" ref="L34:L45">+K34*E34</f>
        <v>156654455.44</v>
      </c>
      <c r="M34" s="822">
        <f aca="true" t="shared" si="5" ref="M34:M45">F34*K34</f>
        <v>198517140.23</v>
      </c>
      <c r="N34" s="822">
        <f aca="true" t="shared" si="6" ref="N34:N45">+K34*G34</f>
        <v>1851362</v>
      </c>
      <c r="O34" s="822">
        <f aca="true" t="shared" si="7" ref="O34:O45">+K34*H34</f>
        <v>539096.7699999999</v>
      </c>
      <c r="P34" s="822">
        <f t="shared" si="0"/>
        <v>27539717</v>
      </c>
      <c r="Q34" s="824">
        <f aca="true" t="shared" si="8" ref="Q34:Q45">+K34*J34</f>
        <v>1522186</v>
      </c>
      <c r="R34" s="817">
        <f aca="true" t="shared" si="9" ref="R34:R45">+L34/12</f>
        <v>13054537.953333333</v>
      </c>
      <c r="S34" s="817">
        <f t="shared" si="1"/>
        <v>16543095.019166665</v>
      </c>
      <c r="T34" s="817">
        <f t="shared" si="2"/>
        <v>154280.16666666666</v>
      </c>
      <c r="U34" s="817">
        <f aca="true" t="shared" si="10" ref="U34:U45">+O34/12</f>
        <v>44924.73083333333</v>
      </c>
      <c r="V34" s="817">
        <f t="shared" si="3"/>
        <v>2294976.4166666665</v>
      </c>
      <c r="W34" s="817">
        <f aca="true" t="shared" si="11" ref="W34:W45">+Q34/12</f>
        <v>126848.83333333333</v>
      </c>
      <c r="X34" s="809"/>
      <c r="Y34" s="809"/>
      <c r="Z34" s="809"/>
      <c r="AA34" s="809"/>
      <c r="AB34" s="809"/>
      <c r="AC34" s="809"/>
      <c r="AD34" s="809"/>
      <c r="AE34" s="809"/>
      <c r="AF34" s="809"/>
      <c r="AG34" s="809"/>
      <c r="AH34" s="809"/>
      <c r="AI34" s="810"/>
    </row>
    <row r="35" spans="1:35" ht="13.5">
      <c r="A35" s="808"/>
      <c r="B35" s="808"/>
      <c r="C35" s="808"/>
      <c r="D35" s="809" t="s">
        <v>208</v>
      </c>
      <c r="E35" s="821">
        <v>13788794.209999997</v>
      </c>
      <c r="F35" s="927">
        <v>12379461.850000001</v>
      </c>
      <c r="G35" s="821">
        <v>-254463</v>
      </c>
      <c r="H35" s="821">
        <v>355036.38</v>
      </c>
      <c r="I35" s="821">
        <v>4343718</v>
      </c>
      <c r="J35" s="821">
        <v>97890</v>
      </c>
      <c r="K35" s="808">
        <f aca="true" t="shared" si="12" ref="K35:K45">+K34-1</f>
        <v>10.5</v>
      </c>
      <c r="L35" s="822">
        <f t="shared" si="4"/>
        <v>144782339.20499998</v>
      </c>
      <c r="M35" s="822">
        <f t="shared" si="5"/>
        <v>129984349.42500001</v>
      </c>
      <c r="N35" s="822">
        <f t="shared" si="6"/>
        <v>-2671861.5</v>
      </c>
      <c r="O35" s="822">
        <f t="shared" si="7"/>
        <v>3727881.99</v>
      </c>
      <c r="P35" s="822">
        <f t="shared" si="0"/>
        <v>45609039</v>
      </c>
      <c r="Q35" s="822">
        <f t="shared" si="8"/>
        <v>1027845</v>
      </c>
      <c r="R35" s="817">
        <f t="shared" si="9"/>
        <v>12065194.933749998</v>
      </c>
      <c r="S35" s="817">
        <f t="shared" si="1"/>
        <v>10832029.11875</v>
      </c>
      <c r="T35" s="817">
        <f t="shared" si="2"/>
        <v>-222655.125</v>
      </c>
      <c r="U35" s="817">
        <f t="shared" si="10"/>
        <v>310656.8325</v>
      </c>
      <c r="V35" s="817">
        <f t="shared" si="3"/>
        <v>3800753.25</v>
      </c>
      <c r="W35" s="817">
        <f t="shared" si="11"/>
        <v>85653.75</v>
      </c>
      <c r="X35" s="809"/>
      <c r="Y35" s="809"/>
      <c r="Z35" s="809"/>
      <c r="AA35" s="809"/>
      <c r="AB35" s="809"/>
      <c r="AC35" s="809"/>
      <c r="AD35" s="809"/>
      <c r="AE35" s="809"/>
      <c r="AF35" s="809"/>
      <c r="AG35" s="809"/>
      <c r="AH35" s="809"/>
      <c r="AI35" s="810"/>
    </row>
    <row r="36" spans="1:35" ht="13.5">
      <c r="A36" s="808"/>
      <c r="B36" s="808"/>
      <c r="C36" s="808"/>
      <c r="D36" s="809" t="s">
        <v>209</v>
      </c>
      <c r="E36" s="821">
        <v>14852760.700000014</v>
      </c>
      <c r="F36" s="927">
        <v>11449894.69</v>
      </c>
      <c r="G36" s="821">
        <v>-2845179</v>
      </c>
      <c r="H36" s="821">
        <v>3122546.02</v>
      </c>
      <c r="I36" s="821">
        <v>2983787</v>
      </c>
      <c r="J36" s="821">
        <v>-16013</v>
      </c>
      <c r="K36" s="808">
        <f t="shared" si="12"/>
        <v>9.5</v>
      </c>
      <c r="L36" s="822">
        <f t="shared" si="4"/>
        <v>141101226.65000013</v>
      </c>
      <c r="M36" s="822">
        <f t="shared" si="5"/>
        <v>108773999.55499999</v>
      </c>
      <c r="N36" s="822">
        <f t="shared" si="6"/>
        <v>-27029200.5</v>
      </c>
      <c r="O36" s="822">
        <f t="shared" si="7"/>
        <v>29664187.19</v>
      </c>
      <c r="P36" s="822">
        <f t="shared" si="0"/>
        <v>28345976.5</v>
      </c>
      <c r="Q36" s="822">
        <f t="shared" si="8"/>
        <v>-152123.5</v>
      </c>
      <c r="R36" s="817">
        <f t="shared" si="9"/>
        <v>11758435.554166676</v>
      </c>
      <c r="S36" s="817">
        <f t="shared" si="1"/>
        <v>9064499.962916667</v>
      </c>
      <c r="T36" s="817">
        <f t="shared" si="2"/>
        <v>-2252433.375</v>
      </c>
      <c r="U36" s="817">
        <f t="shared" si="10"/>
        <v>2472015.5991666666</v>
      </c>
      <c r="V36" s="817">
        <f t="shared" si="3"/>
        <v>2362164.7083333335</v>
      </c>
      <c r="W36" s="817">
        <f t="shared" si="11"/>
        <v>-12676.958333333334</v>
      </c>
      <c r="X36" s="809"/>
      <c r="Y36" s="809"/>
      <c r="Z36" s="809"/>
      <c r="AA36" s="809"/>
      <c r="AB36" s="809"/>
      <c r="AC36" s="809"/>
      <c r="AD36" s="809"/>
      <c r="AE36" s="809"/>
      <c r="AF36" s="809"/>
      <c r="AG36" s="809"/>
      <c r="AH36" s="809"/>
      <c r="AI36" s="810"/>
    </row>
    <row r="37" spans="1:35" ht="13.5">
      <c r="A37" s="808"/>
      <c r="B37" s="808"/>
      <c r="C37" s="808"/>
      <c r="D37" s="809" t="s">
        <v>210</v>
      </c>
      <c r="E37" s="821">
        <v>14159584.166231906</v>
      </c>
      <c r="F37" s="927">
        <v>15181760.33468269</v>
      </c>
      <c r="G37" s="821">
        <v>-17218</v>
      </c>
      <c r="H37" s="821">
        <v>283000</v>
      </c>
      <c r="I37" s="821">
        <v>-650991</v>
      </c>
      <c r="J37" s="821">
        <v>6512000</v>
      </c>
      <c r="K37" s="808">
        <f t="shared" si="12"/>
        <v>8.5</v>
      </c>
      <c r="L37" s="822">
        <f t="shared" si="4"/>
        <v>120356465.4129712</v>
      </c>
      <c r="M37" s="822">
        <f t="shared" si="5"/>
        <v>129044962.84480287</v>
      </c>
      <c r="N37" s="822">
        <f t="shared" si="6"/>
        <v>-146353</v>
      </c>
      <c r="O37" s="822">
        <f t="shared" si="7"/>
        <v>2405500</v>
      </c>
      <c r="P37" s="822">
        <f t="shared" si="0"/>
        <v>-5533423.5</v>
      </c>
      <c r="Q37" s="822">
        <f t="shared" si="8"/>
        <v>55352000</v>
      </c>
      <c r="R37" s="817">
        <f t="shared" si="9"/>
        <v>10029705.451080933</v>
      </c>
      <c r="S37" s="817">
        <f t="shared" si="1"/>
        <v>10753746.903733572</v>
      </c>
      <c r="T37" s="817">
        <f t="shared" si="2"/>
        <v>-12196.083333333334</v>
      </c>
      <c r="U37" s="817">
        <f t="shared" si="10"/>
        <v>200458.33333333334</v>
      </c>
      <c r="V37" s="817">
        <f t="shared" si="3"/>
        <v>-461118.625</v>
      </c>
      <c r="W37" s="817">
        <f t="shared" si="11"/>
        <v>4612666.666666667</v>
      </c>
      <c r="X37" s="809"/>
      <c r="Y37" s="809"/>
      <c r="Z37" s="809"/>
      <c r="AA37" s="809"/>
      <c r="AB37" s="809"/>
      <c r="AC37" s="809"/>
      <c r="AD37" s="809"/>
      <c r="AE37" s="809"/>
      <c r="AF37" s="809"/>
      <c r="AG37" s="809"/>
      <c r="AH37" s="809"/>
      <c r="AI37" s="810"/>
    </row>
    <row r="38" spans="1:35" ht="13.5">
      <c r="A38" s="808"/>
      <c r="B38" s="808"/>
      <c r="C38" s="808"/>
      <c r="D38" s="809" t="s">
        <v>204</v>
      </c>
      <c r="E38" s="821">
        <v>137705801.66758</v>
      </c>
      <c r="F38" s="927">
        <v>-57311890.86703789</v>
      </c>
      <c r="G38" s="821">
        <v>-848829</v>
      </c>
      <c r="H38" s="821">
        <v>883829</v>
      </c>
      <c r="I38" s="821">
        <v>-337112296</v>
      </c>
      <c r="J38" s="821">
        <v>341755913</v>
      </c>
      <c r="K38" s="808">
        <f t="shared" si="12"/>
        <v>7.5</v>
      </c>
      <c r="L38" s="822">
        <f t="shared" si="4"/>
        <v>1032793512.50685</v>
      </c>
      <c r="M38" s="822">
        <f t="shared" si="5"/>
        <v>-429839181.5027842</v>
      </c>
      <c r="N38" s="822">
        <f t="shared" si="6"/>
        <v>-6366217.5</v>
      </c>
      <c r="O38" s="822">
        <f t="shared" si="7"/>
        <v>6628717.5</v>
      </c>
      <c r="P38" s="822">
        <f t="shared" si="0"/>
        <v>-2528342220</v>
      </c>
      <c r="Q38" s="822">
        <f t="shared" si="8"/>
        <v>2563169347.5</v>
      </c>
      <c r="R38" s="817">
        <f t="shared" si="9"/>
        <v>86066126.0422375</v>
      </c>
      <c r="S38" s="817">
        <f t="shared" si="1"/>
        <v>-35819931.79189868</v>
      </c>
      <c r="T38" s="817">
        <f t="shared" si="2"/>
        <v>-530518.125</v>
      </c>
      <c r="U38" s="817">
        <f t="shared" si="10"/>
        <v>552393.125</v>
      </c>
      <c r="V38" s="817">
        <f t="shared" si="3"/>
        <v>-210695185</v>
      </c>
      <c r="W38" s="817">
        <f t="shared" si="11"/>
        <v>213597445.625</v>
      </c>
      <c r="X38" s="809"/>
      <c r="Y38" s="809"/>
      <c r="Z38" s="809"/>
      <c r="AA38" s="809"/>
      <c r="AB38" s="809"/>
      <c r="AC38" s="809"/>
      <c r="AD38" s="809"/>
      <c r="AE38" s="809"/>
      <c r="AF38" s="809"/>
      <c r="AG38" s="809"/>
      <c r="AH38" s="809"/>
      <c r="AI38" s="810"/>
    </row>
    <row r="39" spans="1:35" ht="13.5">
      <c r="A39" s="808"/>
      <c r="B39" s="808"/>
      <c r="C39" s="808"/>
      <c r="D39" s="809" t="s">
        <v>211</v>
      </c>
      <c r="E39" s="821">
        <v>28383207.754679997</v>
      </c>
      <c r="F39" s="927">
        <v>2223269.3050921056</v>
      </c>
      <c r="G39" s="821">
        <v>-183000</v>
      </c>
      <c r="H39" s="821">
        <v>208000</v>
      </c>
      <c r="I39" s="821">
        <v>-584000</v>
      </c>
      <c r="J39" s="821">
        <v>3799673</v>
      </c>
      <c r="K39" s="808">
        <f t="shared" si="12"/>
        <v>6.5</v>
      </c>
      <c r="L39" s="822">
        <f t="shared" si="4"/>
        <v>184490850.40541998</v>
      </c>
      <c r="M39" s="822">
        <f t="shared" si="5"/>
        <v>14451250.483098686</v>
      </c>
      <c r="N39" s="822">
        <f t="shared" si="6"/>
        <v>-1189500</v>
      </c>
      <c r="O39" s="822">
        <f t="shared" si="7"/>
        <v>1352000</v>
      </c>
      <c r="P39" s="822">
        <f t="shared" si="0"/>
        <v>-3796000</v>
      </c>
      <c r="Q39" s="822">
        <f t="shared" si="8"/>
        <v>24697874.5</v>
      </c>
      <c r="R39" s="817">
        <f t="shared" si="9"/>
        <v>15374237.533784999</v>
      </c>
      <c r="S39" s="817">
        <f t="shared" si="1"/>
        <v>1204270.8735915571</v>
      </c>
      <c r="T39" s="817">
        <f t="shared" si="2"/>
        <v>-99125</v>
      </c>
      <c r="U39" s="817">
        <f t="shared" si="10"/>
        <v>112666.66666666667</v>
      </c>
      <c r="V39" s="817">
        <f t="shared" si="3"/>
        <v>-316333.3333333333</v>
      </c>
      <c r="W39" s="817">
        <f t="shared" si="11"/>
        <v>2058156.2083333333</v>
      </c>
      <c r="X39" s="809"/>
      <c r="Y39" s="809"/>
      <c r="Z39" s="809"/>
      <c r="AA39" s="809"/>
      <c r="AB39" s="809"/>
      <c r="AC39" s="809"/>
      <c r="AD39" s="809"/>
      <c r="AE39" s="809"/>
      <c r="AF39" s="809"/>
      <c r="AG39" s="809"/>
      <c r="AH39" s="809"/>
      <c r="AI39" s="810"/>
    </row>
    <row r="40" spans="1:35" ht="13.5">
      <c r="A40" s="808"/>
      <c r="B40" s="808"/>
      <c r="C40" s="808"/>
      <c r="D40" s="809" t="s">
        <v>212</v>
      </c>
      <c r="E40" s="821">
        <v>76372660.354</v>
      </c>
      <c r="F40" s="927">
        <v>-1774979.9585228954</v>
      </c>
      <c r="G40" s="821">
        <v>0</v>
      </c>
      <c r="H40" s="821">
        <v>15000</v>
      </c>
      <c r="I40" s="821">
        <v>-5000000</v>
      </c>
      <c r="J40" s="821">
        <v>6314417</v>
      </c>
      <c r="K40" s="808">
        <f t="shared" si="12"/>
        <v>5.5</v>
      </c>
      <c r="L40" s="822">
        <f t="shared" si="4"/>
        <v>420049631.947</v>
      </c>
      <c r="M40" s="822">
        <f t="shared" si="5"/>
        <v>-9762389.771875925</v>
      </c>
      <c r="N40" s="822">
        <f t="shared" si="6"/>
        <v>0</v>
      </c>
      <c r="O40" s="822">
        <f t="shared" si="7"/>
        <v>82500</v>
      </c>
      <c r="P40" s="822">
        <f t="shared" si="0"/>
        <v>-27500000</v>
      </c>
      <c r="Q40" s="822">
        <f t="shared" si="8"/>
        <v>34729293.5</v>
      </c>
      <c r="R40" s="817">
        <f t="shared" si="9"/>
        <v>35004135.99558333</v>
      </c>
      <c r="S40" s="817">
        <f t="shared" si="1"/>
        <v>-813532.4809896605</v>
      </c>
      <c r="T40" s="817">
        <f t="shared" si="2"/>
        <v>0</v>
      </c>
      <c r="U40" s="817">
        <f t="shared" si="10"/>
        <v>6875</v>
      </c>
      <c r="V40" s="817">
        <f t="shared" si="3"/>
        <v>-2291666.6666666665</v>
      </c>
      <c r="W40" s="817">
        <f t="shared" si="11"/>
        <v>2894107.7916666665</v>
      </c>
      <c r="X40" s="809"/>
      <c r="Y40" s="809"/>
      <c r="Z40" s="809"/>
      <c r="AA40" s="809"/>
      <c r="AB40" s="809"/>
      <c r="AC40" s="809"/>
      <c r="AD40" s="809"/>
      <c r="AE40" s="809"/>
      <c r="AF40" s="809"/>
      <c r="AG40" s="809"/>
      <c r="AH40" s="809"/>
      <c r="AI40" s="810"/>
    </row>
    <row r="41" spans="1:35" ht="13.5">
      <c r="A41" s="808"/>
      <c r="B41" s="808"/>
      <c r="C41" s="808"/>
      <c r="D41" s="809" t="s">
        <v>213</v>
      </c>
      <c r="E41" s="821">
        <v>19077314.63279319</v>
      </c>
      <c r="F41" s="927">
        <v>2450113.5210289117</v>
      </c>
      <c r="G41" s="821">
        <v>0</v>
      </c>
      <c r="H41" s="821">
        <v>0</v>
      </c>
      <c r="I41" s="821">
        <v>0</v>
      </c>
      <c r="J41" s="821">
        <v>730233</v>
      </c>
      <c r="K41" s="808">
        <f t="shared" si="12"/>
        <v>4.5</v>
      </c>
      <c r="L41" s="822">
        <f t="shared" si="4"/>
        <v>85847915.84756936</v>
      </c>
      <c r="M41" s="822">
        <f t="shared" si="5"/>
        <v>11025510.844630104</v>
      </c>
      <c r="N41" s="822">
        <f t="shared" si="6"/>
        <v>0</v>
      </c>
      <c r="O41" s="822">
        <f t="shared" si="7"/>
        <v>0</v>
      </c>
      <c r="P41" s="822">
        <f t="shared" si="0"/>
        <v>0</v>
      </c>
      <c r="Q41" s="822">
        <f t="shared" si="8"/>
        <v>3286048.5</v>
      </c>
      <c r="R41" s="817">
        <f t="shared" si="9"/>
        <v>7153992.9872974465</v>
      </c>
      <c r="S41" s="817">
        <f t="shared" si="1"/>
        <v>918792.570385842</v>
      </c>
      <c r="T41" s="817">
        <f t="shared" si="2"/>
        <v>0</v>
      </c>
      <c r="U41" s="817">
        <f t="shared" si="10"/>
        <v>0</v>
      </c>
      <c r="V41" s="817">
        <f t="shared" si="3"/>
        <v>0</v>
      </c>
      <c r="W41" s="817">
        <f t="shared" si="11"/>
        <v>273837.375</v>
      </c>
      <c r="X41" s="809"/>
      <c r="Y41" s="809"/>
      <c r="Z41" s="809"/>
      <c r="AA41" s="809"/>
      <c r="AB41" s="809"/>
      <c r="AC41" s="809"/>
      <c r="AD41" s="809"/>
      <c r="AE41" s="809"/>
      <c r="AF41" s="809"/>
      <c r="AG41" s="809"/>
      <c r="AH41" s="809"/>
      <c r="AI41" s="810"/>
    </row>
    <row r="42" spans="1:35" ht="13.5">
      <c r="A42" s="808"/>
      <c r="B42" s="808"/>
      <c r="C42" s="808"/>
      <c r="D42" s="809" t="s">
        <v>214</v>
      </c>
      <c r="E42" s="821">
        <v>91040511.51011707</v>
      </c>
      <c r="F42" s="927">
        <v>-53705100.53785497</v>
      </c>
      <c r="G42" s="821">
        <v>0</v>
      </c>
      <c r="H42" s="821">
        <v>0</v>
      </c>
      <c r="I42" s="821">
        <v>0</v>
      </c>
      <c r="J42" s="821">
        <v>626357</v>
      </c>
      <c r="K42" s="808">
        <f t="shared" si="12"/>
        <v>3.5</v>
      </c>
      <c r="L42" s="822">
        <f t="shared" si="4"/>
        <v>318641790.28540975</v>
      </c>
      <c r="M42" s="822">
        <f t="shared" si="5"/>
        <v>-187967851.8824924</v>
      </c>
      <c r="N42" s="822">
        <f t="shared" si="6"/>
        <v>0</v>
      </c>
      <c r="O42" s="822">
        <f t="shared" si="7"/>
        <v>0</v>
      </c>
      <c r="P42" s="822">
        <f t="shared" si="0"/>
        <v>0</v>
      </c>
      <c r="Q42" s="822">
        <f t="shared" si="8"/>
        <v>2192249.5</v>
      </c>
      <c r="R42" s="817">
        <f t="shared" si="9"/>
        <v>26553482.523784146</v>
      </c>
      <c r="S42" s="817">
        <f t="shared" si="1"/>
        <v>-15663987.656874366</v>
      </c>
      <c r="T42" s="817">
        <f t="shared" si="2"/>
        <v>0</v>
      </c>
      <c r="U42" s="817">
        <f t="shared" si="10"/>
        <v>0</v>
      </c>
      <c r="V42" s="817">
        <f t="shared" si="3"/>
        <v>0</v>
      </c>
      <c r="W42" s="817">
        <f t="shared" si="11"/>
        <v>182687.45833333334</v>
      </c>
      <c r="X42" s="809"/>
      <c r="Y42" s="809"/>
      <c r="Z42" s="809"/>
      <c r="AA42" s="809"/>
      <c r="AB42" s="809"/>
      <c r="AC42" s="809"/>
      <c r="AD42" s="809"/>
      <c r="AE42" s="809"/>
      <c r="AF42" s="809"/>
      <c r="AG42" s="809"/>
      <c r="AH42" s="809"/>
      <c r="AI42" s="810"/>
    </row>
    <row r="43" spans="1:35" ht="13.5">
      <c r="A43" s="808"/>
      <c r="B43" s="808"/>
      <c r="C43" s="808"/>
      <c r="D43" s="809" t="s">
        <v>215</v>
      </c>
      <c r="E43" s="821">
        <v>43647635.836500004</v>
      </c>
      <c r="F43" s="927">
        <v>7903843.856822105</v>
      </c>
      <c r="G43" s="821">
        <v>0</v>
      </c>
      <c r="H43" s="821">
        <v>0</v>
      </c>
      <c r="I43" s="821">
        <v>0</v>
      </c>
      <c r="J43" s="821">
        <v>631748</v>
      </c>
      <c r="K43" s="808">
        <f t="shared" si="12"/>
        <v>2.5</v>
      </c>
      <c r="L43" s="822">
        <f t="shared" si="4"/>
        <v>109119089.59125</v>
      </c>
      <c r="M43" s="822">
        <f t="shared" si="5"/>
        <v>19759609.642055262</v>
      </c>
      <c r="N43" s="822">
        <f t="shared" si="6"/>
        <v>0</v>
      </c>
      <c r="O43" s="822">
        <f t="shared" si="7"/>
        <v>0</v>
      </c>
      <c r="P43" s="822">
        <f t="shared" si="0"/>
        <v>0</v>
      </c>
      <c r="Q43" s="822">
        <f t="shared" si="8"/>
        <v>1579370</v>
      </c>
      <c r="R43" s="817">
        <f t="shared" si="9"/>
        <v>9093257.4659375</v>
      </c>
      <c r="S43" s="817">
        <f t="shared" si="1"/>
        <v>1646634.1368379386</v>
      </c>
      <c r="T43" s="817">
        <f t="shared" si="2"/>
        <v>0</v>
      </c>
      <c r="U43" s="817">
        <f t="shared" si="10"/>
        <v>0</v>
      </c>
      <c r="V43" s="817">
        <f t="shared" si="3"/>
        <v>0</v>
      </c>
      <c r="W43" s="817">
        <f t="shared" si="11"/>
        <v>131614.16666666666</v>
      </c>
      <c r="X43" s="809"/>
      <c r="Y43" s="809"/>
      <c r="Z43" s="809"/>
      <c r="AA43" s="809"/>
      <c r="AB43" s="809"/>
      <c r="AC43" s="809"/>
      <c r="AD43" s="809"/>
      <c r="AE43" s="809"/>
      <c r="AF43" s="809"/>
      <c r="AG43" s="809"/>
      <c r="AH43" s="809"/>
      <c r="AI43" s="810"/>
    </row>
    <row r="44" spans="1:35" ht="13.5">
      <c r="A44" s="808"/>
      <c r="B44" s="808"/>
      <c r="C44" s="808"/>
      <c r="D44" s="809" t="s">
        <v>216</v>
      </c>
      <c r="E44" s="821">
        <v>34846158.83212</v>
      </c>
      <c r="F44" s="927">
        <v>4795214.235742105</v>
      </c>
      <c r="G44" s="821">
        <v>0</v>
      </c>
      <c r="H44" s="821">
        <v>0</v>
      </c>
      <c r="I44" s="821">
        <v>-8600000</v>
      </c>
      <c r="J44" s="821">
        <v>8816060</v>
      </c>
      <c r="K44" s="808">
        <f t="shared" si="12"/>
        <v>1.5</v>
      </c>
      <c r="L44" s="822">
        <f t="shared" si="4"/>
        <v>52269238.24818</v>
      </c>
      <c r="M44" s="822">
        <f t="shared" si="5"/>
        <v>7192821.353613158</v>
      </c>
      <c r="N44" s="822">
        <f t="shared" si="6"/>
        <v>0</v>
      </c>
      <c r="O44" s="822">
        <f t="shared" si="7"/>
        <v>0</v>
      </c>
      <c r="P44" s="822">
        <f t="shared" si="0"/>
        <v>-12900000</v>
      </c>
      <c r="Q44" s="822">
        <f t="shared" si="8"/>
        <v>13224090</v>
      </c>
      <c r="R44" s="817">
        <f t="shared" si="9"/>
        <v>4355769.854015</v>
      </c>
      <c r="S44" s="817">
        <f t="shared" si="1"/>
        <v>599401.7794677631</v>
      </c>
      <c r="T44" s="817">
        <f t="shared" si="2"/>
        <v>0</v>
      </c>
      <c r="U44" s="817">
        <f t="shared" si="10"/>
        <v>0</v>
      </c>
      <c r="V44" s="817">
        <f t="shared" si="3"/>
        <v>-1075000</v>
      </c>
      <c r="W44" s="817">
        <f t="shared" si="11"/>
        <v>1102007.5</v>
      </c>
      <c r="X44" s="809"/>
      <c r="Y44" s="809"/>
      <c r="Z44" s="809"/>
      <c r="AA44" s="809"/>
      <c r="AB44" s="809"/>
      <c r="AC44" s="809"/>
      <c r="AD44" s="809"/>
      <c r="AE44" s="809"/>
      <c r="AF44" s="809"/>
      <c r="AG44" s="809"/>
      <c r="AH44" s="809"/>
      <c r="AI44" s="810"/>
    </row>
    <row r="45" spans="1:35" ht="13.5">
      <c r="A45" s="808"/>
      <c r="B45" s="808"/>
      <c r="D45" s="809" t="s">
        <v>217</v>
      </c>
      <c r="E45" s="821">
        <v>98871206.78726</v>
      </c>
      <c r="F45" s="927">
        <v>4916803.851742105</v>
      </c>
      <c r="G45" s="821">
        <v>0</v>
      </c>
      <c r="H45" s="821">
        <v>0</v>
      </c>
      <c r="I45" s="821">
        <v>0</v>
      </c>
      <c r="J45" s="821">
        <v>167420</v>
      </c>
      <c r="K45" s="808">
        <f t="shared" si="12"/>
        <v>0.5</v>
      </c>
      <c r="L45" s="822">
        <f t="shared" si="4"/>
        <v>49435603.39363</v>
      </c>
      <c r="M45" s="822">
        <f t="shared" si="5"/>
        <v>2458401.9258710523</v>
      </c>
      <c r="N45" s="822">
        <f t="shared" si="6"/>
        <v>0</v>
      </c>
      <c r="O45" s="822">
        <f t="shared" si="7"/>
        <v>0</v>
      </c>
      <c r="P45" s="822">
        <f t="shared" si="0"/>
        <v>0</v>
      </c>
      <c r="Q45" s="822">
        <f t="shared" si="8"/>
        <v>83710</v>
      </c>
      <c r="R45" s="817">
        <f t="shared" si="9"/>
        <v>4119633.6161358333</v>
      </c>
      <c r="S45" s="817">
        <f t="shared" si="1"/>
        <v>204866.82715592103</v>
      </c>
      <c r="T45" s="817">
        <f t="shared" si="2"/>
        <v>0</v>
      </c>
      <c r="U45" s="817">
        <f t="shared" si="10"/>
        <v>0</v>
      </c>
      <c r="V45" s="817">
        <f t="shared" si="3"/>
        <v>0</v>
      </c>
      <c r="W45" s="817">
        <f t="shared" si="11"/>
        <v>6975.833333333333</v>
      </c>
      <c r="X45" s="809"/>
      <c r="Y45" s="809"/>
      <c r="Z45" s="809"/>
      <c r="AA45" s="809"/>
      <c r="AB45" s="809"/>
      <c r="AC45" s="809"/>
      <c r="AD45" s="809"/>
      <c r="AE45" s="809"/>
      <c r="AF45" s="809"/>
      <c r="AG45" s="809"/>
      <c r="AH45" s="809"/>
      <c r="AI45" s="810"/>
    </row>
    <row r="46" spans="1:35" ht="13.5">
      <c r="A46" s="808"/>
      <c r="B46" s="808"/>
      <c r="C46" s="809"/>
      <c r="D46" s="809" t="s">
        <v>476</v>
      </c>
      <c r="E46" s="822">
        <f aca="true" t="shared" si="13" ref="E46:J46">SUM(E33:E45)</f>
        <v>586367763.0112822</v>
      </c>
      <c r="F46" s="822">
        <f>SUM(F33:F45)</f>
        <v>52840741.301694274</v>
      </c>
      <c r="G46" s="822">
        <f>SUM(G33:G45)</f>
        <v>207397</v>
      </c>
      <c r="H46" s="822">
        <f t="shared" si="13"/>
        <v>4914289.38</v>
      </c>
      <c r="I46" s="822">
        <f t="shared" si="13"/>
        <v>2847356</v>
      </c>
      <c r="J46" s="822">
        <f t="shared" si="13"/>
        <v>369568062</v>
      </c>
      <c r="K46" s="809"/>
      <c r="L46" s="822">
        <f aca="true" t="shared" si="14" ref="L46:R46">SUM(L33:L45)</f>
        <v>2815542118.933281</v>
      </c>
      <c r="M46" s="822">
        <f>SUM(M33:M45)</f>
        <v>1038478515.1469185</v>
      </c>
      <c r="N46" s="822">
        <f>SUM(N33:N45)</f>
        <v>14789405.5</v>
      </c>
      <c r="O46" s="822">
        <f t="shared" si="14"/>
        <v>44399883.45</v>
      </c>
      <c r="P46" s="822">
        <f t="shared" si="14"/>
        <v>1664291649</v>
      </c>
      <c r="Q46" s="822">
        <f t="shared" si="14"/>
        <v>2700711891</v>
      </c>
      <c r="R46" s="822">
        <f t="shared" si="14"/>
        <v>234628509.91110665</v>
      </c>
      <c r="S46" s="817">
        <f>SUM(S33:S45)</f>
        <v>86539876.26224323</v>
      </c>
      <c r="T46" s="817">
        <f>SUM(T33:T45)</f>
        <v>1232450.4583333337</v>
      </c>
      <c r="U46" s="817">
        <f>SUM(U34:U45)</f>
        <v>3699990.2875</v>
      </c>
      <c r="V46" s="817">
        <f>SUM(V33:V45)</f>
        <v>138690970.75</v>
      </c>
      <c r="W46" s="817">
        <f>SUM(W34:W45)</f>
        <v>225059324.25</v>
      </c>
      <c r="X46" s="822">
        <f>SUM(X33:X45)</f>
        <v>0</v>
      </c>
      <c r="Y46" s="809"/>
      <c r="Z46" s="809"/>
      <c r="AA46" s="809"/>
      <c r="AB46" s="809"/>
      <c r="AC46" s="809"/>
      <c r="AD46" s="809"/>
      <c r="AE46" s="809"/>
      <c r="AF46" s="809"/>
      <c r="AG46" s="809"/>
      <c r="AH46" s="809"/>
      <c r="AI46" s="810"/>
    </row>
    <row r="47" spans="1:29" ht="13.5">
      <c r="A47" s="808"/>
      <c r="B47" s="808"/>
      <c r="C47" s="809"/>
      <c r="D47" s="809" t="s">
        <v>129</v>
      </c>
      <c r="E47" s="809"/>
      <c r="G47" s="809"/>
      <c r="H47" s="809"/>
      <c r="I47" s="809"/>
      <c r="J47" s="809"/>
      <c r="N47" s="823"/>
      <c r="O47" s="823"/>
      <c r="P47" s="823"/>
      <c r="Q47" s="823"/>
      <c r="R47" s="809"/>
      <c r="S47" s="809"/>
      <c r="T47" s="809"/>
      <c r="U47" s="809"/>
      <c r="V47" s="809"/>
      <c r="W47" s="809"/>
      <c r="X47" s="809"/>
      <c r="Y47" s="809"/>
      <c r="Z47" s="809"/>
      <c r="AA47" s="809"/>
      <c r="AB47" s="809"/>
      <c r="AC47" s="810"/>
    </row>
    <row r="48" spans="1:35" ht="13.5">
      <c r="A48" s="808"/>
      <c r="B48" s="808"/>
      <c r="C48" s="809"/>
      <c r="D48" s="809"/>
      <c r="E48" s="809"/>
      <c r="I48" s="809"/>
      <c r="J48" s="809"/>
      <c r="K48" s="809"/>
      <c r="L48" s="809"/>
      <c r="M48" s="809"/>
      <c r="N48" s="809"/>
      <c r="P48" s="823" t="s">
        <v>155</v>
      </c>
      <c r="Q48" s="809"/>
      <c r="R48" s="822">
        <f>R46</f>
        <v>234628509.91110665</v>
      </c>
      <c r="S48" s="822"/>
      <c r="U48" s="822">
        <f>U46</f>
        <v>3699990.2875</v>
      </c>
      <c r="V48" s="822"/>
      <c r="W48" s="822">
        <f>W46</f>
        <v>225059324.25</v>
      </c>
      <c r="X48" s="822">
        <f>SUM(R48:W48)</f>
        <v>463387824.4486066</v>
      </c>
      <c r="Y48" s="809"/>
      <c r="Z48" s="809"/>
      <c r="AA48" s="809"/>
      <c r="AB48" s="809"/>
      <c r="AC48" s="809"/>
      <c r="AD48" s="809"/>
      <c r="AE48" s="809"/>
      <c r="AF48" s="809"/>
      <c r="AG48" s="809"/>
      <c r="AH48" s="809"/>
      <c r="AI48" s="810"/>
    </row>
    <row r="49" spans="1:35" ht="13.5">
      <c r="A49" s="808"/>
      <c r="B49" s="808"/>
      <c r="C49" s="808"/>
      <c r="D49" s="809"/>
      <c r="E49" s="809"/>
      <c r="G49" s="809"/>
      <c r="H49" s="809"/>
      <c r="I49" s="822"/>
      <c r="J49" s="809"/>
      <c r="K49" s="809"/>
      <c r="L49" s="809"/>
      <c r="M49" s="809"/>
      <c r="N49" s="809"/>
      <c r="P49" s="809" t="s">
        <v>149</v>
      </c>
      <c r="Q49" s="809"/>
      <c r="R49" s="809"/>
      <c r="S49" s="822">
        <f>S46</f>
        <v>86539876.26224323</v>
      </c>
      <c r="T49" s="822">
        <f>T46</f>
        <v>1232450.4583333337</v>
      </c>
      <c r="U49" s="809"/>
      <c r="V49" s="822">
        <f>V46</f>
        <v>138690970.75</v>
      </c>
      <c r="W49" s="809"/>
      <c r="X49" s="822">
        <f>SUM(R49:W49)</f>
        <v>226463297.47057655</v>
      </c>
      <c r="Y49" s="809"/>
      <c r="Z49" s="809"/>
      <c r="AA49" s="809"/>
      <c r="AB49" s="809"/>
      <c r="AC49" s="809"/>
      <c r="AD49" s="809"/>
      <c r="AE49" s="809"/>
      <c r="AF49" s="809"/>
      <c r="AG49" s="809"/>
      <c r="AH49" s="809"/>
      <c r="AI49" s="810"/>
    </row>
    <row r="50" spans="1:33" ht="13.5">
      <c r="A50" s="808"/>
      <c r="B50" s="808"/>
      <c r="C50" s="808"/>
      <c r="D50" s="809"/>
      <c r="E50" s="809"/>
      <c r="G50" s="809"/>
      <c r="H50" s="809"/>
      <c r="I50" s="822"/>
      <c r="J50" s="809"/>
      <c r="K50" s="809"/>
      <c r="L50" s="809"/>
      <c r="M50" s="809"/>
      <c r="N50" s="809"/>
      <c r="P50" s="809" t="s">
        <v>130</v>
      </c>
      <c r="Q50" s="809"/>
      <c r="R50" s="824">
        <f>12-R48/E46*12</f>
        <v>7.1983340549383055</v>
      </c>
      <c r="S50" s="824">
        <f>12-S49/F46*12</f>
        <v>-7.652989143693585</v>
      </c>
      <c r="T50" s="824">
        <f>12-T49/G46*12</f>
        <v>-59.309640448029654</v>
      </c>
      <c r="U50" s="824">
        <f>IF(ISERROR(12-U48/H46*12),0,12-U48/H46*12)</f>
        <v>2.965146735009732</v>
      </c>
      <c r="V50" s="824">
        <f>12-V49/I46*12</f>
        <v>-572.5042379667312</v>
      </c>
      <c r="W50" s="824">
        <f>IF(ISERROR(12-W48/J46*12),0,12-W48/J46*12)</f>
        <v>4.69224760282451</v>
      </c>
      <c r="X50" s="809"/>
      <c r="Y50" s="809"/>
      <c r="Z50" s="809"/>
      <c r="AA50" s="809"/>
      <c r="AB50" s="809"/>
      <c r="AC50" s="809"/>
      <c r="AD50" s="809"/>
      <c r="AE50" s="809"/>
      <c r="AF50" s="809"/>
      <c r="AG50" s="810"/>
    </row>
    <row r="51" spans="1:29" ht="13.5">
      <c r="A51" s="808">
        <v>3</v>
      </c>
      <c r="B51" s="808" t="str">
        <f>+B27</f>
        <v>April</v>
      </c>
      <c r="C51" s="808" t="str">
        <f>+C27</f>
        <v>Year 2</v>
      </c>
      <c r="D51" s="813" t="str">
        <f>+D11</f>
        <v>TO adds weighted Cap Adds to plant in service in Formula</v>
      </c>
      <c r="E51" s="809"/>
      <c r="F51" s="809"/>
      <c r="G51" s="809"/>
      <c r="H51" s="809"/>
      <c r="I51" s="809"/>
      <c r="J51" s="809"/>
      <c r="K51" s="809"/>
      <c r="L51" s="822"/>
      <c r="M51" s="809"/>
      <c r="N51" s="809"/>
      <c r="O51" s="809"/>
      <c r="P51" s="809"/>
      <c r="Q51" s="809"/>
      <c r="R51" s="809"/>
      <c r="S51" s="809"/>
      <c r="T51" s="809"/>
      <c r="U51" s="809"/>
      <c r="V51" s="809"/>
      <c r="W51" s="809"/>
      <c r="X51" s="809"/>
      <c r="Y51" s="809"/>
      <c r="Z51" s="809"/>
      <c r="AA51" s="809"/>
      <c r="AB51" s="809"/>
      <c r="AC51" s="810"/>
    </row>
    <row r="52" spans="1:29" ht="13.5">
      <c r="A52" s="808"/>
      <c r="B52" s="808"/>
      <c r="C52" s="808"/>
      <c r="D52" s="837">
        <v>318398173</v>
      </c>
      <c r="E52" s="809"/>
      <c r="F52" s="822"/>
      <c r="G52" s="819" t="s">
        <v>156</v>
      </c>
      <c r="H52" s="822"/>
      <c r="I52" s="809"/>
      <c r="J52" s="809"/>
      <c r="K52" s="809"/>
      <c r="L52" s="822"/>
      <c r="M52" s="809"/>
      <c r="N52" s="809"/>
      <c r="O52" s="809"/>
      <c r="P52" s="809"/>
      <c r="Q52" s="809"/>
      <c r="R52" s="809"/>
      <c r="S52" s="809"/>
      <c r="T52" s="809"/>
      <c r="U52" s="809"/>
      <c r="V52" s="809"/>
      <c r="W52" s="809"/>
      <c r="X52" s="809"/>
      <c r="Y52" s="809"/>
      <c r="Z52" s="809"/>
      <c r="AA52" s="809"/>
      <c r="AB52" s="809"/>
      <c r="AC52" s="810"/>
    </row>
    <row r="53" spans="1:29" ht="13.5">
      <c r="A53" s="808"/>
      <c r="B53" s="808"/>
      <c r="C53" s="808"/>
      <c r="D53" s="825"/>
      <c r="E53" s="808"/>
      <c r="F53" s="822"/>
      <c r="G53" s="808"/>
      <c r="H53" s="822"/>
      <c r="I53" s="809"/>
      <c r="J53" s="809"/>
      <c r="K53" s="809"/>
      <c r="L53" s="809"/>
      <c r="M53" s="809"/>
      <c r="N53" s="809"/>
      <c r="O53" s="809"/>
      <c r="P53" s="809"/>
      <c r="Q53" s="809"/>
      <c r="R53" s="809"/>
      <c r="S53" s="809"/>
      <c r="T53" s="822"/>
      <c r="U53" s="822"/>
      <c r="V53" s="822"/>
      <c r="X53" s="822"/>
      <c r="Y53" s="822"/>
      <c r="Z53" s="822"/>
      <c r="AA53" s="822"/>
      <c r="AB53" s="809"/>
      <c r="AC53" s="810"/>
    </row>
    <row r="54" spans="1:29" ht="13.5">
      <c r="A54" s="808">
        <v>4</v>
      </c>
      <c r="B54" s="808" t="str">
        <f>+B12</f>
        <v>May</v>
      </c>
      <c r="C54" s="808" t="str">
        <f>+C51</f>
        <v>Year 2</v>
      </c>
      <c r="D54" s="809" t="str">
        <f>+D12</f>
        <v>Post results of Step 3 on PJM web site</v>
      </c>
      <c r="E54" s="809"/>
      <c r="F54" s="809"/>
      <c r="G54" s="809"/>
      <c r="H54" s="809"/>
      <c r="I54" s="809"/>
      <c r="J54" s="809"/>
      <c r="K54" s="809"/>
      <c r="L54" s="809"/>
      <c r="M54" s="809"/>
      <c r="N54" s="809"/>
      <c r="O54" s="809"/>
      <c r="P54" s="809"/>
      <c r="Q54" s="809"/>
      <c r="R54" s="809"/>
      <c r="S54" s="809"/>
      <c r="T54" s="809"/>
      <c r="U54" s="809"/>
      <c r="V54" s="822"/>
      <c r="W54" s="822"/>
      <c r="X54" s="809"/>
      <c r="Y54" s="822"/>
      <c r="Z54" s="809"/>
      <c r="AA54" s="822"/>
      <c r="AB54" s="809"/>
      <c r="AC54" s="810"/>
    </row>
    <row r="55" spans="1:29" ht="13.5">
      <c r="A55" s="808"/>
      <c r="B55" s="808"/>
      <c r="C55" s="808"/>
      <c r="D55" s="818">
        <f>+D52</f>
        <v>318398173</v>
      </c>
      <c r="F55" s="825"/>
      <c r="G55" s="819" t="s">
        <v>156</v>
      </c>
      <c r="H55" s="809"/>
      <c r="I55" s="809"/>
      <c r="J55" s="809"/>
      <c r="K55" s="809"/>
      <c r="L55" s="809"/>
      <c r="M55" s="809"/>
      <c r="N55" s="809"/>
      <c r="O55" s="809"/>
      <c r="P55" s="809"/>
      <c r="Q55" s="809"/>
      <c r="R55" s="809"/>
      <c r="S55" s="809"/>
      <c r="T55" s="824"/>
      <c r="U55" s="824"/>
      <c r="V55" s="824"/>
      <c r="W55" s="824"/>
      <c r="X55" s="824"/>
      <c r="Y55" s="824"/>
      <c r="Z55" s="824"/>
      <c r="AA55" s="809"/>
      <c r="AB55" s="809"/>
      <c r="AC55" s="810"/>
    </row>
    <row r="56" spans="1:29" ht="13.5">
      <c r="A56" s="808"/>
      <c r="B56" s="808"/>
      <c r="C56" s="808"/>
      <c r="D56" s="826"/>
      <c r="E56" s="809"/>
      <c r="F56" s="809"/>
      <c r="G56" s="809"/>
      <c r="H56" s="809"/>
      <c r="I56" s="809"/>
      <c r="J56" s="809"/>
      <c r="K56" s="809"/>
      <c r="L56" s="809"/>
      <c r="M56" s="809"/>
      <c r="N56" s="809"/>
      <c r="O56" s="809"/>
      <c r="P56" s="809"/>
      <c r="Q56" s="809"/>
      <c r="R56" s="809"/>
      <c r="S56" s="809"/>
      <c r="T56" s="824"/>
      <c r="U56" s="824"/>
      <c r="V56" s="824"/>
      <c r="W56" s="824"/>
      <c r="X56" s="824"/>
      <c r="Y56" s="824"/>
      <c r="Z56" s="824"/>
      <c r="AA56" s="809"/>
      <c r="AB56" s="809"/>
      <c r="AC56" s="810"/>
    </row>
    <row r="57" spans="1:29" ht="13.5">
      <c r="A57" s="808">
        <f>+A13</f>
        <v>5</v>
      </c>
      <c r="B57" s="808" t="str">
        <f>+B13</f>
        <v>June</v>
      </c>
      <c r="C57" s="808" t="str">
        <f>+C13</f>
        <v>Year 2</v>
      </c>
      <c r="D57" s="813" t="str">
        <f>+D13</f>
        <v>Results of Step 3 go into effect for the Rate Year 1 (e.g., June 1, 2008 - May 31, 2009)</v>
      </c>
      <c r="E57" s="809"/>
      <c r="F57" s="809"/>
      <c r="G57" s="809"/>
      <c r="H57" s="809"/>
      <c r="I57" s="809"/>
      <c r="J57" s="809"/>
      <c r="K57" s="809"/>
      <c r="L57" s="809"/>
      <c r="M57" s="809"/>
      <c r="N57" s="809"/>
      <c r="O57" s="809"/>
      <c r="P57" s="809"/>
      <c r="Q57" s="809"/>
      <c r="R57" s="809"/>
      <c r="S57" s="809"/>
      <c r="T57" s="809"/>
      <c r="U57" s="809"/>
      <c r="V57" s="809"/>
      <c r="W57" s="809"/>
      <c r="X57" s="809"/>
      <c r="Y57" s="809"/>
      <c r="Z57" s="809"/>
      <c r="AA57" s="809"/>
      <c r="AB57" s="809"/>
      <c r="AC57" s="810"/>
    </row>
    <row r="58" spans="1:29" ht="13.5">
      <c r="A58" s="808"/>
      <c r="B58" s="808"/>
      <c r="C58" s="808"/>
      <c r="D58" s="859">
        <f>+D55</f>
        <v>318398173</v>
      </c>
      <c r="E58" s="809"/>
      <c r="F58" s="809"/>
      <c r="G58" s="809"/>
      <c r="H58" s="809"/>
      <c r="I58" s="809"/>
      <c r="J58" s="809"/>
      <c r="K58" s="809"/>
      <c r="L58" s="809"/>
      <c r="M58" s="809"/>
      <c r="N58" s="809"/>
      <c r="O58" s="809"/>
      <c r="P58" s="809"/>
      <c r="Q58" s="809"/>
      <c r="R58" s="809"/>
      <c r="S58" s="809"/>
      <c r="T58" s="809"/>
      <c r="U58" s="809"/>
      <c r="V58" s="809"/>
      <c r="W58" s="809"/>
      <c r="X58" s="809"/>
      <c r="Y58" s="809"/>
      <c r="Z58" s="809"/>
      <c r="AA58" s="809"/>
      <c r="AB58" s="809"/>
      <c r="AC58" s="810"/>
    </row>
    <row r="59" spans="1:29" ht="13.5">
      <c r="A59" s="827"/>
      <c r="B59" s="827"/>
      <c r="C59" s="827"/>
      <c r="D59" s="828"/>
      <c r="E59" s="828"/>
      <c r="F59" s="828"/>
      <c r="G59" s="828"/>
      <c r="H59" s="828"/>
      <c r="I59" s="828"/>
      <c r="J59" s="828"/>
      <c r="K59" s="828"/>
      <c r="L59" s="809"/>
      <c r="M59" s="809"/>
      <c r="N59" s="809"/>
      <c r="O59" s="809"/>
      <c r="P59" s="809"/>
      <c r="Q59" s="809"/>
      <c r="R59" s="809"/>
      <c r="S59" s="809"/>
      <c r="T59" s="809"/>
      <c r="U59" s="809"/>
      <c r="V59" s="809"/>
      <c r="W59" s="809"/>
      <c r="X59" s="809"/>
      <c r="Y59" s="809"/>
      <c r="Z59" s="809"/>
      <c r="AA59" s="809"/>
      <c r="AB59" s="809"/>
      <c r="AC59" s="810"/>
    </row>
    <row r="60" spans="1:29" ht="15.75">
      <c r="A60" s="827"/>
      <c r="B60" s="827"/>
      <c r="C60" s="827"/>
      <c r="D60" s="828"/>
      <c r="E60" s="828"/>
      <c r="F60" s="828"/>
      <c r="G60" s="828"/>
      <c r="H60" s="828"/>
      <c r="I60" s="828"/>
      <c r="J60" s="829"/>
      <c r="K60" s="828"/>
      <c r="L60" s="809"/>
      <c r="M60" s="809"/>
      <c r="N60" s="809"/>
      <c r="O60" s="809"/>
      <c r="P60" s="809"/>
      <c r="Q60" s="809"/>
      <c r="R60" s="809"/>
      <c r="S60" s="809"/>
      <c r="T60" s="809"/>
      <c r="U60" s="809"/>
      <c r="V60" s="809"/>
      <c r="W60" s="809"/>
      <c r="X60" s="809"/>
      <c r="Y60" s="809"/>
      <c r="Z60" s="809"/>
      <c r="AA60" s="809"/>
      <c r="AB60" s="809"/>
      <c r="AC60" s="810"/>
    </row>
    <row r="61" spans="1:29" ht="15.75">
      <c r="A61" s="827"/>
      <c r="B61" s="827"/>
      <c r="C61" s="827"/>
      <c r="D61" s="828"/>
      <c r="E61" s="828"/>
      <c r="F61" s="828"/>
      <c r="G61" s="828"/>
      <c r="H61" s="828"/>
      <c r="I61" s="828"/>
      <c r="J61" s="829"/>
      <c r="K61" s="828"/>
      <c r="L61" s="809"/>
      <c r="M61" s="809"/>
      <c r="N61" s="809"/>
      <c r="O61" s="809"/>
      <c r="P61" s="809"/>
      <c r="Q61" s="809"/>
      <c r="R61" s="809"/>
      <c r="S61" s="809"/>
      <c r="T61" s="809"/>
      <c r="U61" s="809"/>
      <c r="V61" s="809"/>
      <c r="W61" s="809"/>
      <c r="X61" s="809"/>
      <c r="Y61" s="809"/>
      <c r="Z61" s="809"/>
      <c r="AA61" s="809"/>
      <c r="AB61" s="809"/>
      <c r="AC61" s="810"/>
    </row>
    <row r="62" spans="1:29" ht="13.5">
      <c r="A62" s="808">
        <f>+A15</f>
        <v>6</v>
      </c>
      <c r="B62" s="808" t="str">
        <f>+B15</f>
        <v>April</v>
      </c>
      <c r="C62" s="808" t="str">
        <f>+C15</f>
        <v>Year 3</v>
      </c>
      <c r="D62" s="813" t="str">
        <f>+D15</f>
        <v>TO populates the formula with Year 2 data from FERC Form No. 1 for Year 2 (e.g., 2008)</v>
      </c>
      <c r="E62" s="809"/>
      <c r="F62" s="809"/>
      <c r="G62" s="809"/>
      <c r="H62" s="809"/>
      <c r="I62" s="809"/>
      <c r="J62" s="809"/>
      <c r="K62" s="809"/>
      <c r="L62" s="809"/>
      <c r="M62" s="809"/>
      <c r="N62" s="809"/>
      <c r="O62" s="809"/>
      <c r="P62" s="809"/>
      <c r="Q62" s="809"/>
      <c r="R62" s="809"/>
      <c r="S62" s="809"/>
      <c r="T62" s="809"/>
      <c r="U62" s="809"/>
      <c r="V62" s="809"/>
      <c r="W62" s="809"/>
      <c r="X62" s="809"/>
      <c r="Y62" s="809"/>
      <c r="Z62" s="809"/>
      <c r="AA62" s="809"/>
      <c r="AB62" s="809"/>
      <c r="AC62" s="810"/>
    </row>
    <row r="63" spans="1:29" ht="13.5">
      <c r="A63" s="808"/>
      <c r="B63" s="808"/>
      <c r="C63" s="808"/>
      <c r="D63" s="830">
        <v>327418848</v>
      </c>
      <c r="E63" s="809" t="s">
        <v>256</v>
      </c>
      <c r="F63" s="809"/>
      <c r="G63" s="819" t="s">
        <v>154</v>
      </c>
      <c r="H63" s="809"/>
      <c r="I63" s="809"/>
      <c r="K63" s="809"/>
      <c r="L63" s="809"/>
      <c r="M63" s="809"/>
      <c r="N63" s="809"/>
      <c r="O63" s="809"/>
      <c r="P63" s="809"/>
      <c r="Q63" s="809"/>
      <c r="R63" s="809"/>
      <c r="S63" s="809"/>
      <c r="T63" s="809"/>
      <c r="U63" s="809"/>
      <c r="V63" s="809"/>
      <c r="W63" s="809"/>
      <c r="X63" s="809"/>
      <c r="Y63" s="809"/>
      <c r="Z63" s="809"/>
      <c r="AA63" s="809"/>
      <c r="AB63" s="809"/>
      <c r="AC63" s="810"/>
    </row>
    <row r="64" spans="1:29" ht="13.5">
      <c r="A64" s="808"/>
      <c r="B64" s="808"/>
      <c r="C64" s="808"/>
      <c r="D64" s="831"/>
      <c r="E64" s="809"/>
      <c r="F64" s="809"/>
      <c r="G64" s="809"/>
      <c r="H64" s="809"/>
      <c r="I64" s="809"/>
      <c r="J64" s="809"/>
      <c r="K64" s="809"/>
      <c r="L64" s="809"/>
      <c r="M64" s="809"/>
      <c r="N64" s="809"/>
      <c r="O64" s="809"/>
      <c r="P64" s="809"/>
      <c r="Q64" s="809"/>
      <c r="R64" s="809"/>
      <c r="S64" s="809"/>
      <c r="T64" s="809"/>
      <c r="U64" s="809"/>
      <c r="V64" s="809"/>
      <c r="W64" s="809"/>
      <c r="X64" s="809"/>
      <c r="Y64" s="809"/>
      <c r="Z64" s="809"/>
      <c r="AA64" s="809"/>
      <c r="AB64" s="809"/>
      <c r="AC64" s="810"/>
    </row>
    <row r="65" spans="1:29" ht="13.5">
      <c r="A65" s="808"/>
      <c r="B65" s="808"/>
      <c r="C65" s="808"/>
      <c r="D65" s="832"/>
      <c r="E65" s="809"/>
      <c r="F65" s="809"/>
      <c r="G65" s="809"/>
      <c r="H65" s="809"/>
      <c r="I65" s="809"/>
      <c r="J65" s="809"/>
      <c r="K65" s="809"/>
      <c r="L65" s="809"/>
      <c r="M65" s="809"/>
      <c r="N65" s="809"/>
      <c r="O65" s="809"/>
      <c r="P65" s="809"/>
      <c r="Q65" s="809"/>
      <c r="R65" s="809"/>
      <c r="S65" s="809"/>
      <c r="T65" s="809"/>
      <c r="U65" s="809"/>
      <c r="V65" s="824"/>
      <c r="W65" s="809"/>
      <c r="X65" s="809"/>
      <c r="Y65" s="809"/>
      <c r="Z65" s="809"/>
      <c r="AA65" s="809"/>
      <c r="AB65" s="809"/>
      <c r="AC65" s="810"/>
    </row>
    <row r="66" spans="1:29" ht="13.5">
      <c r="A66" s="808"/>
      <c r="B66" s="808"/>
      <c r="C66" s="808"/>
      <c r="D66" s="809"/>
      <c r="E66" s="809"/>
      <c r="F66" s="809"/>
      <c r="G66" s="809"/>
      <c r="H66" s="822"/>
      <c r="I66" s="809"/>
      <c r="J66" s="809"/>
      <c r="K66" s="809"/>
      <c r="L66" s="809"/>
      <c r="M66" s="809"/>
      <c r="N66" s="809"/>
      <c r="O66" s="809"/>
      <c r="P66" s="809"/>
      <c r="Q66" s="809"/>
      <c r="R66" s="809"/>
      <c r="S66" s="809"/>
      <c r="T66" s="809"/>
      <c r="U66" s="809"/>
      <c r="V66" s="809"/>
      <c r="W66" s="809"/>
      <c r="X66" s="809"/>
      <c r="Y66" s="809"/>
      <c r="Z66" s="809"/>
      <c r="AA66" s="809"/>
      <c r="AB66" s="809"/>
      <c r="AC66" s="810"/>
    </row>
    <row r="67" spans="1:29" ht="13.5">
      <c r="A67" s="808">
        <v>7</v>
      </c>
      <c r="B67" s="808" t="str">
        <f>+B16</f>
        <v>April</v>
      </c>
      <c r="C67" s="808" t="str">
        <f>+C16</f>
        <v>Year 3</v>
      </c>
      <c r="D67" s="813" t="str">
        <f>+D16</f>
        <v>Reconciliation - TO calculates Reconciliation by removing from Year 2 data - the total Cap Adds placed in service in Year 2 and adding weighted average in Year 2 actual Cap Adds and CWIP in Reconciliation</v>
      </c>
      <c r="E67" s="815"/>
      <c r="F67" s="815"/>
      <c r="G67" s="815"/>
      <c r="H67" s="815"/>
      <c r="I67" s="815"/>
      <c r="J67" s="815"/>
      <c r="K67" s="809"/>
      <c r="L67" s="809"/>
      <c r="M67" s="809"/>
      <c r="N67" s="809"/>
      <c r="O67" s="809"/>
      <c r="P67" s="809"/>
      <c r="Q67" s="809"/>
      <c r="R67" s="809"/>
      <c r="S67" s="809"/>
      <c r="T67" s="809"/>
      <c r="U67" s="809"/>
      <c r="V67" s="809"/>
      <c r="W67" s="809"/>
      <c r="X67" s="809"/>
      <c r="Y67" s="809"/>
      <c r="Z67" s="809"/>
      <c r="AA67" s="809"/>
      <c r="AB67" s="809"/>
      <c r="AC67" s="810"/>
    </row>
    <row r="68" spans="1:29" ht="13.5">
      <c r="A68" s="808"/>
      <c r="B68" s="808"/>
      <c r="C68" s="808"/>
      <c r="D68" s="833" t="str">
        <f>+D17</f>
        <v>(adjusted to include any Reconciliation amount from prior year)</v>
      </c>
      <c r="E68" s="834"/>
      <c r="F68" s="834"/>
      <c r="G68" s="834"/>
      <c r="H68" s="815"/>
      <c r="I68" s="815"/>
      <c r="J68" s="815"/>
      <c r="K68" s="809"/>
      <c r="L68" s="809"/>
      <c r="M68" s="809"/>
      <c r="N68" s="809"/>
      <c r="O68" s="809"/>
      <c r="P68" s="809"/>
      <c r="Q68" s="809"/>
      <c r="R68" s="809"/>
      <c r="S68" s="809"/>
      <c r="T68" s="809"/>
      <c r="U68" s="809"/>
      <c r="V68" s="809"/>
      <c r="W68" s="809"/>
      <c r="X68" s="809"/>
      <c r="Y68" s="809"/>
      <c r="Z68" s="809"/>
      <c r="AA68" s="809"/>
      <c r="AB68" s="809"/>
      <c r="AC68" s="810"/>
    </row>
    <row r="69" spans="1:29" ht="13.5">
      <c r="A69" s="808"/>
      <c r="B69" s="808"/>
      <c r="C69" s="808"/>
      <c r="D69" s="835"/>
      <c r="E69" s="835"/>
      <c r="F69" s="835"/>
      <c r="G69" s="835"/>
      <c r="H69" s="835"/>
      <c r="I69" s="835"/>
      <c r="J69" s="835"/>
      <c r="K69" s="809"/>
      <c r="L69" s="809"/>
      <c r="M69" s="809"/>
      <c r="N69" s="809"/>
      <c r="O69" s="809"/>
      <c r="P69" s="809"/>
      <c r="Q69" s="809"/>
      <c r="R69" s="809"/>
      <c r="S69" s="809"/>
      <c r="T69" s="809"/>
      <c r="U69" s="809"/>
      <c r="V69" s="809"/>
      <c r="W69" s="809"/>
      <c r="X69" s="809"/>
      <c r="Y69" s="809"/>
      <c r="Z69" s="809"/>
      <c r="AA69" s="809"/>
      <c r="AB69" s="809"/>
      <c r="AC69" s="810"/>
    </row>
    <row r="70" spans="1:29" ht="13.5">
      <c r="A70" s="808"/>
      <c r="B70" s="808"/>
      <c r="C70" s="808"/>
      <c r="D70" s="831" t="s">
        <v>190</v>
      </c>
      <c r="E70" s="809"/>
      <c r="G70" s="809"/>
      <c r="H70" s="836"/>
      <c r="I70" s="809"/>
      <c r="K70" s="809"/>
      <c r="L70" s="809"/>
      <c r="M70" s="809"/>
      <c r="N70" s="809"/>
      <c r="O70" s="809"/>
      <c r="P70" s="809"/>
      <c r="Q70" s="809"/>
      <c r="R70" s="809"/>
      <c r="S70" s="809"/>
      <c r="T70" s="809"/>
      <c r="U70" s="809"/>
      <c r="V70" s="809"/>
      <c r="W70" s="809"/>
      <c r="X70" s="809"/>
      <c r="Y70" s="809"/>
      <c r="Z70" s="809"/>
      <c r="AA70" s="809"/>
      <c r="AB70" s="809"/>
      <c r="AC70" s="810"/>
    </row>
    <row r="71" spans="1:29" ht="13.5">
      <c r="A71" s="808"/>
      <c r="B71" s="808"/>
      <c r="C71" s="808"/>
      <c r="D71" s="809" t="s">
        <v>95</v>
      </c>
      <c r="E71" s="836"/>
      <c r="F71" s="809"/>
      <c r="G71" s="809"/>
      <c r="H71" s="837">
        <f>E93+H93+J93</f>
        <v>961652696.7099998</v>
      </c>
      <c r="I71" s="809" t="s">
        <v>153</v>
      </c>
      <c r="J71" s="809"/>
      <c r="K71" s="809"/>
      <c r="L71" s="809"/>
      <c r="M71" s="809"/>
      <c r="N71" s="809"/>
      <c r="O71" s="809"/>
      <c r="P71" s="809"/>
      <c r="Q71" s="809"/>
      <c r="R71" s="809"/>
      <c r="S71" s="809"/>
      <c r="T71" s="809"/>
      <c r="U71" s="809"/>
      <c r="V71" s="809"/>
      <c r="W71" s="809"/>
      <c r="X71" s="809"/>
      <c r="Y71" s="809"/>
      <c r="Z71" s="809"/>
      <c r="AA71" s="809"/>
      <c r="AB71" s="809"/>
      <c r="AC71" s="810"/>
    </row>
    <row r="72" spans="1:29" ht="13.5">
      <c r="A72" s="808"/>
      <c r="B72" s="808"/>
      <c r="C72" s="808"/>
      <c r="D72" s="831"/>
      <c r="E72" s="809"/>
      <c r="F72" s="809"/>
      <c r="G72" s="809"/>
      <c r="H72" s="809"/>
      <c r="I72" s="809"/>
      <c r="J72" s="809"/>
      <c r="K72" s="809"/>
      <c r="L72" s="809"/>
      <c r="M72" s="809"/>
      <c r="N72" s="809"/>
      <c r="O72" s="809"/>
      <c r="P72" s="809"/>
      <c r="Q72" s="809"/>
      <c r="R72" s="809"/>
      <c r="S72" s="809"/>
      <c r="T72" s="809"/>
      <c r="U72" s="809"/>
      <c r="V72" s="809"/>
      <c r="W72" s="809"/>
      <c r="X72" s="809"/>
      <c r="Y72" s="809"/>
      <c r="Z72" s="809"/>
      <c r="AA72" s="809"/>
      <c r="AB72" s="809"/>
      <c r="AC72" s="810"/>
    </row>
    <row r="73" spans="1:29" ht="13.5">
      <c r="A73" s="808"/>
      <c r="B73" s="808"/>
      <c r="C73" s="808"/>
      <c r="D73" s="838" t="s">
        <v>96</v>
      </c>
      <c r="E73" s="809"/>
      <c r="F73" s="809"/>
      <c r="G73" s="809"/>
      <c r="H73" s="809"/>
      <c r="I73" s="809"/>
      <c r="J73" s="809"/>
      <c r="K73" s="809"/>
      <c r="L73" s="809"/>
      <c r="M73" s="809"/>
      <c r="N73" s="809"/>
      <c r="O73" s="809"/>
      <c r="P73" s="809"/>
      <c r="Q73" s="809"/>
      <c r="R73" s="809"/>
      <c r="S73" s="809"/>
      <c r="T73" s="809"/>
      <c r="U73" s="809"/>
      <c r="V73" s="809"/>
      <c r="W73" s="809"/>
      <c r="X73" s="809"/>
      <c r="Y73" s="809"/>
      <c r="Z73" s="809"/>
      <c r="AA73" s="809"/>
      <c r="AB73" s="809"/>
      <c r="AC73" s="810"/>
    </row>
    <row r="74" spans="1:29" ht="13.5">
      <c r="A74" s="808"/>
      <c r="B74" s="808"/>
      <c r="C74" s="808"/>
      <c r="D74" s="838"/>
      <c r="E74" s="809"/>
      <c r="F74" s="809"/>
      <c r="G74" s="809"/>
      <c r="H74" s="809"/>
      <c r="I74" s="809"/>
      <c r="J74" s="809"/>
      <c r="K74" s="809"/>
      <c r="L74" s="809"/>
      <c r="M74" s="809"/>
      <c r="N74" s="809"/>
      <c r="O74" s="809"/>
      <c r="P74" s="809"/>
      <c r="Q74" s="809"/>
      <c r="R74" s="809"/>
      <c r="S74" s="809"/>
      <c r="T74" s="809"/>
      <c r="U74" s="809"/>
      <c r="V74" s="809"/>
      <c r="W74" s="809"/>
      <c r="X74" s="809"/>
      <c r="Y74" s="809"/>
      <c r="Z74" s="809"/>
      <c r="AA74" s="809"/>
      <c r="AB74" s="809"/>
      <c r="AC74" s="810"/>
    </row>
    <row r="75" spans="1:29" ht="13.5">
      <c r="A75" s="808"/>
      <c r="B75" s="808"/>
      <c r="C75" s="808"/>
      <c r="D75" s="838"/>
      <c r="E75" s="809"/>
      <c r="F75" s="809"/>
      <c r="G75" s="809"/>
      <c r="H75" s="809"/>
      <c r="I75" s="809"/>
      <c r="J75" s="809"/>
      <c r="K75" s="809"/>
      <c r="L75" s="809"/>
      <c r="M75" s="809"/>
      <c r="N75" s="809"/>
      <c r="O75" s="809"/>
      <c r="P75" s="809"/>
      <c r="Q75" s="809"/>
      <c r="R75" s="809"/>
      <c r="S75" s="809"/>
      <c r="T75" s="809"/>
      <c r="U75" s="809"/>
      <c r="V75" s="809"/>
      <c r="W75" s="809"/>
      <c r="X75" s="809"/>
      <c r="Y75" s="809"/>
      <c r="Z75" s="809"/>
      <c r="AA75" s="809"/>
      <c r="AB75" s="809"/>
      <c r="AC75" s="810"/>
    </row>
    <row r="76" spans="1:35" ht="13.5">
      <c r="A76" s="808"/>
      <c r="B76" s="808"/>
      <c r="C76" s="808"/>
      <c r="E76" s="820" t="s">
        <v>310</v>
      </c>
      <c r="F76" s="820" t="s">
        <v>757</v>
      </c>
      <c r="G76" s="820" t="s">
        <v>658</v>
      </c>
      <c r="H76" s="820" t="s">
        <v>116</v>
      </c>
      <c r="I76" s="820" t="s">
        <v>117</v>
      </c>
      <c r="J76" s="820" t="s">
        <v>118</v>
      </c>
      <c r="K76" s="820" t="s">
        <v>119</v>
      </c>
      <c r="L76" s="820" t="s">
        <v>120</v>
      </c>
      <c r="M76" s="820" t="s">
        <v>121</v>
      </c>
      <c r="N76" s="808" t="s">
        <v>122</v>
      </c>
      <c r="O76" s="808" t="s">
        <v>123</v>
      </c>
      <c r="P76" s="808" t="s">
        <v>124</v>
      </c>
      <c r="Q76" s="808" t="s">
        <v>125</v>
      </c>
      <c r="R76" s="808" t="s">
        <v>152</v>
      </c>
      <c r="S76" s="808" t="s">
        <v>2</v>
      </c>
      <c r="T76" s="808" t="s">
        <v>3</v>
      </c>
      <c r="U76" s="1059" t="s">
        <v>4</v>
      </c>
      <c r="V76" s="1059" t="s">
        <v>5</v>
      </c>
      <c r="W76" s="1059" t="s">
        <v>546</v>
      </c>
      <c r="X76" s="809"/>
      <c r="Y76" s="809"/>
      <c r="Z76" s="809"/>
      <c r="AA76" s="809"/>
      <c r="AB76" s="809"/>
      <c r="AC76" s="809"/>
      <c r="AD76" s="809"/>
      <c r="AE76" s="809"/>
      <c r="AF76" s="809"/>
      <c r="AG76" s="809"/>
      <c r="AH76" s="809"/>
      <c r="AI76" s="810"/>
    </row>
    <row r="77" spans="1:35" ht="13.5">
      <c r="A77" s="808"/>
      <c r="B77" s="808"/>
      <c r="C77" s="808"/>
      <c r="E77" s="808" t="s">
        <v>126</v>
      </c>
      <c r="F77" s="808" t="s">
        <v>126</v>
      </c>
      <c r="G77" s="808" t="s">
        <v>126</v>
      </c>
      <c r="H77" s="808" t="s">
        <v>126</v>
      </c>
      <c r="I77" s="808" t="s">
        <v>126</v>
      </c>
      <c r="J77" s="808" t="s">
        <v>126</v>
      </c>
      <c r="L77" s="808" t="str">
        <f>+E78</f>
        <v>Other Plant In Service</v>
      </c>
      <c r="M77" s="808" t="s">
        <v>751</v>
      </c>
      <c r="N77" s="808" t="str">
        <f>+G78</f>
        <v>Susq-Rose CWIP</v>
      </c>
      <c r="O77" s="808" t="str">
        <f>+H78</f>
        <v>Susq-Rose PIS</v>
      </c>
      <c r="P77" s="808" t="str">
        <f>+I78</f>
        <v>Susq-Rose CWIP</v>
      </c>
      <c r="Q77" s="808" t="str">
        <f>+J78</f>
        <v>Susq-Rose PIS</v>
      </c>
      <c r="R77" s="808" t="str">
        <f>+E78</f>
        <v>Other Plant In Service</v>
      </c>
      <c r="S77" s="808" t="s">
        <v>751</v>
      </c>
      <c r="T77" s="808" t="str">
        <f>+G78</f>
        <v>Susq-Rose CWIP</v>
      </c>
      <c r="U77" s="808" t="str">
        <f>+H78</f>
        <v>Susq-Rose PIS</v>
      </c>
      <c r="V77" s="808" t="str">
        <f>+I78</f>
        <v>Susq-Rose CWIP</v>
      </c>
      <c r="W77" s="808" t="str">
        <f>+J78</f>
        <v>Susq-Rose PIS</v>
      </c>
      <c r="X77" s="808" t="s">
        <v>476</v>
      </c>
      <c r="Y77" s="809"/>
      <c r="Z77" s="809"/>
      <c r="AA77" s="809"/>
      <c r="AB77" s="809"/>
      <c r="AC77" s="809"/>
      <c r="AD77" s="809"/>
      <c r="AE77" s="809"/>
      <c r="AF77" s="809"/>
      <c r="AG77" s="809"/>
      <c r="AH77" s="809"/>
      <c r="AI77" s="810"/>
    </row>
    <row r="78" spans="1:35" ht="13.5">
      <c r="A78" s="808"/>
      <c r="B78" s="808"/>
      <c r="C78" s="808"/>
      <c r="D78" s="809"/>
      <c r="E78" s="808" t="s">
        <v>127</v>
      </c>
      <c r="F78" s="808" t="s">
        <v>749</v>
      </c>
      <c r="G78" s="808" t="s">
        <v>150</v>
      </c>
      <c r="H78" s="808" t="s">
        <v>151</v>
      </c>
      <c r="I78" s="808" t="s">
        <v>150</v>
      </c>
      <c r="J78" s="808" t="s">
        <v>151</v>
      </c>
      <c r="K78" s="808" t="s">
        <v>206</v>
      </c>
      <c r="L78" s="808" t="s">
        <v>758</v>
      </c>
      <c r="M78" s="808" t="s">
        <v>759</v>
      </c>
      <c r="N78" s="808" t="s">
        <v>760</v>
      </c>
      <c r="O78" s="808" t="s">
        <v>761</v>
      </c>
      <c r="P78" s="808" t="s">
        <v>762</v>
      </c>
      <c r="Q78" s="808" t="s">
        <v>763</v>
      </c>
      <c r="R78" s="808" t="s">
        <v>764</v>
      </c>
      <c r="S78" s="808" t="s">
        <v>128</v>
      </c>
      <c r="T78" s="808" t="s">
        <v>6</v>
      </c>
      <c r="U78" s="808" t="s">
        <v>7</v>
      </c>
      <c r="V78" s="808" t="s">
        <v>8</v>
      </c>
      <c r="W78" s="808" t="s">
        <v>9</v>
      </c>
      <c r="X78" s="809"/>
      <c r="Y78" s="809"/>
      <c r="Z78" s="809"/>
      <c r="AA78" s="809"/>
      <c r="AB78" s="809"/>
      <c r="AC78" s="809"/>
      <c r="AD78" s="809"/>
      <c r="AE78" s="809"/>
      <c r="AF78" s="809"/>
      <c r="AG78" s="809"/>
      <c r="AH78" s="809"/>
      <c r="AI78" s="810"/>
    </row>
    <row r="79" spans="1:35" ht="13.5">
      <c r="A79" s="808"/>
      <c r="B79" s="808"/>
      <c r="C79" s="808"/>
      <c r="D79" s="809"/>
      <c r="E79" s="808"/>
      <c r="F79" s="808" t="s">
        <v>750</v>
      </c>
      <c r="G79" s="808" t="s">
        <v>417</v>
      </c>
      <c r="H79" s="808" t="s">
        <v>417</v>
      </c>
      <c r="I79" s="808" t="s">
        <v>418</v>
      </c>
      <c r="J79" s="808" t="s">
        <v>418</v>
      </c>
      <c r="K79" s="808"/>
      <c r="L79" s="808"/>
      <c r="M79" s="808"/>
      <c r="N79" s="808" t="str">
        <f>G79</f>
        <v>&lt; 500kV (b0487.1)</v>
      </c>
      <c r="O79" s="808" t="str">
        <f>H79</f>
        <v>&lt; 500kV (b0487.1)</v>
      </c>
      <c r="P79" s="808" t="str">
        <f>I79</f>
        <v>&gt;= 500kV (b0487)</v>
      </c>
      <c r="Q79" s="808" t="str">
        <f>J79</f>
        <v>&gt;= 500kV (b0487)</v>
      </c>
      <c r="R79" s="808"/>
      <c r="S79" s="808"/>
      <c r="T79" s="808" t="str">
        <f>N79</f>
        <v>&lt; 500kV (b0487.1)</v>
      </c>
      <c r="U79" s="808" t="str">
        <f>O79</f>
        <v>&lt; 500kV (b0487.1)</v>
      </c>
      <c r="V79" s="808" t="str">
        <f>P79</f>
        <v>&gt;= 500kV (b0487)</v>
      </c>
      <c r="W79" s="808" t="str">
        <f>Q79</f>
        <v>&gt;= 500kV (b0487)</v>
      </c>
      <c r="X79" s="809"/>
      <c r="Y79" s="809"/>
      <c r="Z79" s="809"/>
      <c r="AA79" s="809"/>
      <c r="AB79" s="809"/>
      <c r="AC79" s="809"/>
      <c r="AD79" s="809"/>
      <c r="AE79" s="809"/>
      <c r="AF79" s="809"/>
      <c r="AG79" s="809"/>
      <c r="AH79" s="809"/>
      <c r="AI79" s="810"/>
    </row>
    <row r="80" spans="1:37" ht="13.5">
      <c r="A80" s="808"/>
      <c r="B80" s="808"/>
      <c r="C80" s="808"/>
      <c r="D80" s="809" t="s">
        <v>568</v>
      </c>
      <c r="E80" s="808"/>
      <c r="F80" s="927">
        <v>87069991</v>
      </c>
      <c r="G80" s="858">
        <v>4195098</v>
      </c>
      <c r="H80" s="808"/>
      <c r="I80" s="858">
        <v>345072380</v>
      </c>
      <c r="J80" s="808"/>
      <c r="K80" s="808">
        <v>12</v>
      </c>
      <c r="L80" s="808"/>
      <c r="M80" s="824">
        <f>+K80*F80</f>
        <v>1044839892</v>
      </c>
      <c r="N80" s="824">
        <f>+K80*G80</f>
        <v>50341176</v>
      </c>
      <c r="O80" s="808"/>
      <c r="P80" s="845">
        <f>I80*K80</f>
        <v>4140868560</v>
      </c>
      <c r="Q80" s="808"/>
      <c r="R80" s="822"/>
      <c r="S80" s="817">
        <f>+M80/12</f>
        <v>87069991</v>
      </c>
      <c r="T80" s="817">
        <f>+N80/12</f>
        <v>4195098</v>
      </c>
      <c r="U80" s="808"/>
      <c r="V80" s="817">
        <f aca="true" t="shared" si="15" ref="V80:V92">+P80/12</f>
        <v>345072380</v>
      </c>
      <c r="W80" s="808"/>
      <c r="X80" s="817"/>
      <c r="Y80" s="808"/>
      <c r="Z80" s="809"/>
      <c r="AA80" s="809"/>
      <c r="AB80" s="809"/>
      <c r="AC80" s="809"/>
      <c r="AD80" s="809"/>
      <c r="AE80" s="809"/>
      <c r="AF80" s="809"/>
      <c r="AG80" s="809"/>
      <c r="AH80" s="809"/>
      <c r="AI80" s="809"/>
      <c r="AJ80" s="809"/>
      <c r="AK80" s="810"/>
    </row>
    <row r="81" spans="1:37" ht="13.5">
      <c r="A81" s="808"/>
      <c r="B81" s="808"/>
      <c r="C81" s="808"/>
      <c r="D81" s="809" t="s">
        <v>207</v>
      </c>
      <c r="E81" s="821">
        <v>13622126.56</v>
      </c>
      <c r="F81" s="927">
        <v>17262359.95</v>
      </c>
      <c r="G81" s="927">
        <v>160988</v>
      </c>
      <c r="H81" s="821">
        <v>46878</v>
      </c>
      <c r="I81" s="858">
        <v>2394758</v>
      </c>
      <c r="J81" s="821">
        <v>132364</v>
      </c>
      <c r="K81" s="808">
        <v>11.5</v>
      </c>
      <c r="L81" s="822">
        <f aca="true" t="shared" si="16" ref="L81:L92">+K81*E81</f>
        <v>156654455.44</v>
      </c>
      <c r="M81" s="822">
        <f aca="true" t="shared" si="17" ref="M81:M92">+K81*F81</f>
        <v>198517139.42499998</v>
      </c>
      <c r="N81" s="822">
        <f aca="true" t="shared" si="18" ref="N81:N92">+K81*G81</f>
        <v>1851362</v>
      </c>
      <c r="O81" s="822">
        <f aca="true" t="shared" si="19" ref="O81:O92">+K81*H81</f>
        <v>539097</v>
      </c>
      <c r="P81" s="822">
        <f aca="true" t="shared" si="20" ref="P81:P92">+K81*I81</f>
        <v>27539717</v>
      </c>
      <c r="Q81" s="822">
        <f aca="true" t="shared" si="21" ref="Q81:Q92">+K81*J81</f>
        <v>1522186</v>
      </c>
      <c r="R81" s="822">
        <f aca="true" t="shared" si="22" ref="R81:R92">L81/12</f>
        <v>13054537.953333333</v>
      </c>
      <c r="S81" s="817">
        <f aca="true" t="shared" si="23" ref="S81:S92">+M81/12</f>
        <v>16543094.952083332</v>
      </c>
      <c r="T81" s="817">
        <f aca="true" t="shared" si="24" ref="T81:T92">+N81/12</f>
        <v>154280.16666666666</v>
      </c>
      <c r="U81" s="817">
        <f aca="true" t="shared" si="25" ref="U81:U92">+O81/12</f>
        <v>44924.75</v>
      </c>
      <c r="V81" s="817">
        <f t="shared" si="15"/>
        <v>2294976.4166666665</v>
      </c>
      <c r="W81" s="817">
        <f aca="true" t="shared" si="26" ref="W81:W92">+Q81/12</f>
        <v>126848.83333333333</v>
      </c>
      <c r="X81" s="817"/>
      <c r="Y81" s="809"/>
      <c r="Z81" s="809"/>
      <c r="AA81" s="809"/>
      <c r="AB81" s="809"/>
      <c r="AC81" s="809"/>
      <c r="AD81" s="809"/>
      <c r="AE81" s="809"/>
      <c r="AF81" s="809"/>
      <c r="AG81" s="809"/>
      <c r="AH81" s="809"/>
      <c r="AI81" s="809"/>
      <c r="AJ81" s="809"/>
      <c r="AK81" s="810"/>
    </row>
    <row r="82" spans="1:37" ht="13.5">
      <c r="A82" s="808"/>
      <c r="B82" s="808"/>
      <c r="C82" s="808"/>
      <c r="D82" s="809" t="s">
        <v>208</v>
      </c>
      <c r="E82" s="821">
        <v>13788794.209999997</v>
      </c>
      <c r="F82" s="927">
        <v>12379462.190000001</v>
      </c>
      <c r="G82" s="927">
        <v>-254463</v>
      </c>
      <c r="H82" s="821">
        <v>355036</v>
      </c>
      <c r="I82" s="858">
        <v>4343718</v>
      </c>
      <c r="J82" s="821">
        <v>97890</v>
      </c>
      <c r="K82" s="808">
        <f aca="true" t="shared" si="27" ref="K82:K92">+K81-1</f>
        <v>10.5</v>
      </c>
      <c r="L82" s="822">
        <f t="shared" si="16"/>
        <v>144782339.20499998</v>
      </c>
      <c r="M82" s="822">
        <f t="shared" si="17"/>
        <v>129984352.99500002</v>
      </c>
      <c r="N82" s="822">
        <f t="shared" si="18"/>
        <v>-2671861.5</v>
      </c>
      <c r="O82" s="822">
        <f t="shared" si="19"/>
        <v>3727878</v>
      </c>
      <c r="P82" s="822">
        <f t="shared" si="20"/>
        <v>45609039</v>
      </c>
      <c r="Q82" s="822">
        <f t="shared" si="21"/>
        <v>1027845</v>
      </c>
      <c r="R82" s="822">
        <f t="shared" si="22"/>
        <v>12065194.933749998</v>
      </c>
      <c r="S82" s="817">
        <f t="shared" si="23"/>
        <v>10832029.416250002</v>
      </c>
      <c r="T82" s="817">
        <f t="shared" si="24"/>
        <v>-222655.125</v>
      </c>
      <c r="U82" s="817">
        <f t="shared" si="25"/>
        <v>310656.5</v>
      </c>
      <c r="V82" s="817">
        <f t="shared" si="15"/>
        <v>3800753.25</v>
      </c>
      <c r="W82" s="817">
        <f t="shared" si="26"/>
        <v>85653.75</v>
      </c>
      <c r="X82" s="817"/>
      <c r="Y82" s="809"/>
      <c r="Z82" s="809"/>
      <c r="AA82" s="809"/>
      <c r="AB82" s="809"/>
      <c r="AC82" s="809"/>
      <c r="AD82" s="809"/>
      <c r="AE82" s="809"/>
      <c r="AF82" s="809"/>
      <c r="AG82" s="809"/>
      <c r="AH82" s="809"/>
      <c r="AI82" s="809"/>
      <c r="AJ82" s="809"/>
      <c r="AK82" s="810"/>
    </row>
    <row r="83" spans="1:37" ht="13.5">
      <c r="A83" s="808"/>
      <c r="B83" s="808"/>
      <c r="C83" s="808"/>
      <c r="D83" s="809" t="s">
        <v>209</v>
      </c>
      <c r="E83" s="821">
        <v>14852760.700000014</v>
      </c>
      <c r="F83" s="927">
        <v>11449894.32</v>
      </c>
      <c r="G83" s="927">
        <v>-2845179</v>
      </c>
      <c r="H83" s="821">
        <v>3122546</v>
      </c>
      <c r="I83" s="858">
        <v>2983787</v>
      </c>
      <c r="J83" s="821">
        <v>-16013</v>
      </c>
      <c r="K83" s="808">
        <f t="shared" si="27"/>
        <v>9.5</v>
      </c>
      <c r="L83" s="822">
        <f t="shared" si="16"/>
        <v>141101226.65000013</v>
      </c>
      <c r="M83" s="822">
        <f t="shared" si="17"/>
        <v>108773996.04</v>
      </c>
      <c r="N83" s="822">
        <f t="shared" si="18"/>
        <v>-27029200.5</v>
      </c>
      <c r="O83" s="822">
        <f t="shared" si="19"/>
        <v>29664187</v>
      </c>
      <c r="P83" s="822">
        <f t="shared" si="20"/>
        <v>28345976.5</v>
      </c>
      <c r="Q83" s="824">
        <f t="shared" si="21"/>
        <v>-152123.5</v>
      </c>
      <c r="R83" s="822">
        <f t="shared" si="22"/>
        <v>11758435.554166676</v>
      </c>
      <c r="S83" s="817">
        <f t="shared" si="23"/>
        <v>9064499.67</v>
      </c>
      <c r="T83" s="817">
        <f t="shared" si="24"/>
        <v>-2252433.375</v>
      </c>
      <c r="U83" s="817">
        <f t="shared" si="25"/>
        <v>2472015.5833333335</v>
      </c>
      <c r="V83" s="817">
        <f t="shared" si="15"/>
        <v>2362164.7083333335</v>
      </c>
      <c r="W83" s="817">
        <f t="shared" si="26"/>
        <v>-12676.958333333334</v>
      </c>
      <c r="X83" s="817"/>
      <c r="Y83" s="809"/>
      <c r="Z83" s="809"/>
      <c r="AA83" s="809"/>
      <c r="AB83" s="809"/>
      <c r="AC83" s="809"/>
      <c r="AD83" s="809"/>
      <c r="AE83" s="809"/>
      <c r="AF83" s="809"/>
      <c r="AG83" s="809"/>
      <c r="AH83" s="809"/>
      <c r="AI83" s="809"/>
      <c r="AJ83" s="809"/>
      <c r="AK83" s="810"/>
    </row>
    <row r="84" spans="1:37" ht="13.5">
      <c r="A84" s="808"/>
      <c r="B84" s="808"/>
      <c r="C84" s="808"/>
      <c r="D84" s="809" t="s">
        <v>210</v>
      </c>
      <c r="E84" s="821">
        <v>17857069.11999997</v>
      </c>
      <c r="F84" s="927">
        <v>14318099.96</v>
      </c>
      <c r="G84" s="927">
        <v>-494300</v>
      </c>
      <c r="H84" s="821">
        <v>981099</v>
      </c>
      <c r="I84" s="858">
        <v>2420457</v>
      </c>
      <c r="J84" s="821">
        <v>2128372</v>
      </c>
      <c r="K84" s="808">
        <f t="shared" si="27"/>
        <v>8.5</v>
      </c>
      <c r="L84" s="822">
        <f t="shared" si="16"/>
        <v>151785087.51999974</v>
      </c>
      <c r="M84" s="822">
        <f t="shared" si="17"/>
        <v>121703849.66000001</v>
      </c>
      <c r="N84" s="822">
        <f t="shared" si="18"/>
        <v>-4201550</v>
      </c>
      <c r="O84" s="822">
        <f t="shared" si="19"/>
        <v>8339341.5</v>
      </c>
      <c r="P84" s="822">
        <f t="shared" si="20"/>
        <v>20573884.5</v>
      </c>
      <c r="Q84" s="822">
        <f t="shared" si="21"/>
        <v>18091162</v>
      </c>
      <c r="R84" s="822">
        <f t="shared" si="22"/>
        <v>12648757.293333312</v>
      </c>
      <c r="S84" s="817">
        <f t="shared" si="23"/>
        <v>10141987.471666668</v>
      </c>
      <c r="T84" s="817">
        <f t="shared" si="24"/>
        <v>-350129.1666666667</v>
      </c>
      <c r="U84" s="817">
        <f t="shared" si="25"/>
        <v>694945.125</v>
      </c>
      <c r="V84" s="817">
        <f t="shared" si="15"/>
        <v>1714490.375</v>
      </c>
      <c r="W84" s="817">
        <f t="shared" si="26"/>
        <v>1507596.8333333333</v>
      </c>
      <c r="X84" s="817"/>
      <c r="Y84" s="809"/>
      <c r="Z84" s="809"/>
      <c r="AA84" s="809"/>
      <c r="AB84" s="809"/>
      <c r="AC84" s="809"/>
      <c r="AD84" s="809"/>
      <c r="AE84" s="809"/>
      <c r="AF84" s="809"/>
      <c r="AG84" s="809"/>
      <c r="AH84" s="809"/>
      <c r="AI84" s="809"/>
      <c r="AJ84" s="809"/>
      <c r="AK84" s="810"/>
    </row>
    <row r="85" spans="1:37" ht="13.5">
      <c r="A85" s="808"/>
      <c r="B85" s="808"/>
      <c r="C85" s="808"/>
      <c r="D85" s="809" t="s">
        <v>204</v>
      </c>
      <c r="E85" s="821">
        <v>135851400.87999976</v>
      </c>
      <c r="F85" s="927">
        <v>-59535950.47000001</v>
      </c>
      <c r="G85" s="927">
        <v>-712408</v>
      </c>
      <c r="H85" s="821">
        <v>1066732</v>
      </c>
      <c r="I85" s="858">
        <v>-325496307</v>
      </c>
      <c r="J85" s="821">
        <v>327605036</v>
      </c>
      <c r="K85" s="808">
        <f t="shared" si="27"/>
        <v>7.5</v>
      </c>
      <c r="L85" s="822">
        <f t="shared" si="16"/>
        <v>1018885506.5999982</v>
      </c>
      <c r="M85" s="822">
        <f t="shared" si="17"/>
        <v>-446519628.5250001</v>
      </c>
      <c r="N85" s="822">
        <f t="shared" si="18"/>
        <v>-5343060</v>
      </c>
      <c r="O85" s="822">
        <f t="shared" si="19"/>
        <v>8000490</v>
      </c>
      <c r="P85" s="822">
        <f t="shared" si="20"/>
        <v>-2441222302.5</v>
      </c>
      <c r="Q85" s="822">
        <f t="shared" si="21"/>
        <v>2457037770</v>
      </c>
      <c r="R85" s="822">
        <f t="shared" si="22"/>
        <v>84907125.54999985</v>
      </c>
      <c r="S85" s="817">
        <f t="shared" si="23"/>
        <v>-37209969.04375001</v>
      </c>
      <c r="T85" s="817">
        <f t="shared" si="24"/>
        <v>-445255</v>
      </c>
      <c r="U85" s="817">
        <f t="shared" si="25"/>
        <v>666707.5</v>
      </c>
      <c r="V85" s="817">
        <f t="shared" si="15"/>
        <v>-203435191.875</v>
      </c>
      <c r="W85" s="817">
        <f t="shared" si="26"/>
        <v>204753147.5</v>
      </c>
      <c r="X85" s="817"/>
      <c r="Y85" s="809"/>
      <c r="Z85" s="809"/>
      <c r="AA85" s="809"/>
      <c r="AB85" s="809"/>
      <c r="AC85" s="809"/>
      <c r="AD85" s="809"/>
      <c r="AE85" s="809"/>
      <c r="AF85" s="809"/>
      <c r="AG85" s="809"/>
      <c r="AH85" s="809"/>
      <c r="AI85" s="809"/>
      <c r="AJ85" s="809"/>
      <c r="AK85" s="810"/>
    </row>
    <row r="86" spans="1:37" ht="13.5">
      <c r="A86" s="808"/>
      <c r="B86" s="808"/>
      <c r="C86" s="808"/>
      <c r="D86" s="809" t="s">
        <v>211</v>
      </c>
      <c r="E86" s="821">
        <v>66996761.25000008</v>
      </c>
      <c r="F86" s="927">
        <v>-2446957.749999998</v>
      </c>
      <c r="G86" s="927">
        <v>-162899</v>
      </c>
      <c r="H86" s="821">
        <v>34147</v>
      </c>
      <c r="I86" s="858">
        <v>-4111383</v>
      </c>
      <c r="J86" s="821">
        <v>4662785</v>
      </c>
      <c r="K86" s="808">
        <f t="shared" si="27"/>
        <v>6.5</v>
      </c>
      <c r="L86" s="822">
        <f t="shared" si="16"/>
        <v>435478948.12500054</v>
      </c>
      <c r="M86" s="822">
        <f t="shared" si="17"/>
        <v>-15905225.374999989</v>
      </c>
      <c r="N86" s="822">
        <f t="shared" si="18"/>
        <v>-1058843.5</v>
      </c>
      <c r="O86" s="822">
        <f t="shared" si="19"/>
        <v>221955.5</v>
      </c>
      <c r="P86" s="822">
        <f t="shared" si="20"/>
        <v>-26723989.5</v>
      </c>
      <c r="Q86" s="822">
        <f t="shared" si="21"/>
        <v>30308102.5</v>
      </c>
      <c r="R86" s="822">
        <f t="shared" si="22"/>
        <v>36289912.343750045</v>
      </c>
      <c r="S86" s="817">
        <f t="shared" si="23"/>
        <v>-1325435.4479166658</v>
      </c>
      <c r="T86" s="817">
        <f t="shared" si="24"/>
        <v>-88236.95833333333</v>
      </c>
      <c r="U86" s="817">
        <f t="shared" si="25"/>
        <v>18496.291666666668</v>
      </c>
      <c r="V86" s="817">
        <f t="shared" si="15"/>
        <v>-2226999.125</v>
      </c>
      <c r="W86" s="817">
        <f t="shared" si="26"/>
        <v>2525675.2083333335</v>
      </c>
      <c r="X86" s="817"/>
      <c r="Y86" s="809"/>
      <c r="Z86" s="809"/>
      <c r="AA86" s="809"/>
      <c r="AB86" s="809"/>
      <c r="AC86" s="809"/>
      <c r="AD86" s="809"/>
      <c r="AE86" s="809"/>
      <c r="AF86" s="809"/>
      <c r="AG86" s="809"/>
      <c r="AH86" s="809"/>
      <c r="AI86" s="809"/>
      <c r="AJ86" s="809"/>
      <c r="AK86" s="810"/>
    </row>
    <row r="87" spans="1:37" ht="13.5">
      <c r="A87" s="808"/>
      <c r="B87" s="808"/>
      <c r="C87" s="808"/>
      <c r="D87" s="809" t="s">
        <v>212</v>
      </c>
      <c r="E87" s="821">
        <v>26018248.989999995</v>
      </c>
      <c r="F87" s="927">
        <v>18822827.3</v>
      </c>
      <c r="G87" s="927">
        <v>-102942</v>
      </c>
      <c r="H87" s="821">
        <v>204594</v>
      </c>
      <c r="I87" s="858">
        <v>-4754010</v>
      </c>
      <c r="J87" s="821">
        <v>5043614</v>
      </c>
      <c r="K87" s="808">
        <f t="shared" si="27"/>
        <v>5.5</v>
      </c>
      <c r="L87" s="822">
        <f t="shared" si="16"/>
        <v>143100369.44499996</v>
      </c>
      <c r="M87" s="822">
        <f t="shared" si="17"/>
        <v>103525550.15</v>
      </c>
      <c r="N87" s="822">
        <f t="shared" si="18"/>
        <v>-566181</v>
      </c>
      <c r="O87" s="822">
        <f t="shared" si="19"/>
        <v>1125267</v>
      </c>
      <c r="P87" s="822">
        <f t="shared" si="20"/>
        <v>-26147055</v>
      </c>
      <c r="Q87" s="822">
        <f t="shared" si="21"/>
        <v>27739877</v>
      </c>
      <c r="R87" s="822">
        <f t="shared" si="22"/>
        <v>11925030.78708333</v>
      </c>
      <c r="S87" s="817">
        <f t="shared" si="23"/>
        <v>8627129.179166667</v>
      </c>
      <c r="T87" s="817">
        <f t="shared" si="24"/>
        <v>-47181.75</v>
      </c>
      <c r="U87" s="817">
        <f t="shared" si="25"/>
        <v>93772.25</v>
      </c>
      <c r="V87" s="817">
        <f t="shared" si="15"/>
        <v>-2178921.25</v>
      </c>
      <c r="W87" s="817">
        <f t="shared" si="26"/>
        <v>2311656.4166666665</v>
      </c>
      <c r="X87" s="817"/>
      <c r="Y87" s="809"/>
      <c r="Z87" s="809"/>
      <c r="AA87" s="809"/>
      <c r="AB87" s="809"/>
      <c r="AC87" s="809"/>
      <c r="AD87" s="809"/>
      <c r="AE87" s="809"/>
      <c r="AF87" s="809"/>
      <c r="AG87" s="809"/>
      <c r="AH87" s="809"/>
      <c r="AI87" s="809"/>
      <c r="AJ87" s="809"/>
      <c r="AK87" s="810"/>
    </row>
    <row r="88" spans="1:37" ht="13.5">
      <c r="A88" s="808"/>
      <c r="B88" s="808"/>
      <c r="C88" s="808"/>
      <c r="D88" s="809" t="s">
        <v>213</v>
      </c>
      <c r="E88" s="821">
        <v>20071463</v>
      </c>
      <c r="F88" s="927">
        <v>-3720068.08</v>
      </c>
      <c r="G88" s="927">
        <v>-42353</v>
      </c>
      <c r="H88" s="821">
        <v>83003</v>
      </c>
      <c r="I88" s="858">
        <v>-6449342</v>
      </c>
      <c r="J88" s="821">
        <v>11215323</v>
      </c>
      <c r="K88" s="808">
        <f t="shared" si="27"/>
        <v>4.5</v>
      </c>
      <c r="L88" s="822">
        <f t="shared" si="16"/>
        <v>90321583.5</v>
      </c>
      <c r="M88" s="822">
        <f t="shared" si="17"/>
        <v>-16740306.36</v>
      </c>
      <c r="N88" s="822">
        <f t="shared" si="18"/>
        <v>-190588.5</v>
      </c>
      <c r="O88" s="822">
        <f t="shared" si="19"/>
        <v>373513.5</v>
      </c>
      <c r="P88" s="822">
        <f t="shared" si="20"/>
        <v>-29022039</v>
      </c>
      <c r="Q88" s="822">
        <f t="shared" si="21"/>
        <v>50468953.5</v>
      </c>
      <c r="R88" s="822">
        <f t="shared" si="22"/>
        <v>7526798.625</v>
      </c>
      <c r="S88" s="817">
        <f t="shared" si="23"/>
        <v>-1395025.53</v>
      </c>
      <c r="T88" s="817">
        <f t="shared" si="24"/>
        <v>-15882.375</v>
      </c>
      <c r="U88" s="817">
        <f t="shared" si="25"/>
        <v>31126.125</v>
      </c>
      <c r="V88" s="817">
        <f t="shared" si="15"/>
        <v>-2418503.25</v>
      </c>
      <c r="W88" s="817">
        <f t="shared" si="26"/>
        <v>4205746.125</v>
      </c>
      <c r="X88" s="817"/>
      <c r="Y88" s="809"/>
      <c r="Z88" s="809"/>
      <c r="AA88" s="809"/>
      <c r="AB88" s="809"/>
      <c r="AC88" s="809"/>
      <c r="AD88" s="809"/>
      <c r="AE88" s="809"/>
      <c r="AF88" s="809"/>
      <c r="AG88" s="809"/>
      <c r="AH88" s="809"/>
      <c r="AI88" s="809"/>
      <c r="AJ88" s="809"/>
      <c r="AK88" s="810"/>
    </row>
    <row r="89" spans="1:37" ht="13.5">
      <c r="A89" s="808"/>
      <c r="B89" s="808"/>
      <c r="C89" s="808"/>
      <c r="D89" s="809" t="s">
        <v>214</v>
      </c>
      <c r="E89" s="821">
        <v>111473227</v>
      </c>
      <c r="F89" s="927">
        <v>-58033643</v>
      </c>
      <c r="G89" s="927">
        <v>-1821</v>
      </c>
      <c r="H89" s="821">
        <v>19606</v>
      </c>
      <c r="I89" s="858">
        <v>14454535</v>
      </c>
      <c r="J89" s="821">
        <v>1209222</v>
      </c>
      <c r="K89" s="808">
        <f t="shared" si="27"/>
        <v>3.5</v>
      </c>
      <c r="L89" s="822">
        <f t="shared" si="16"/>
        <v>390156294.5</v>
      </c>
      <c r="M89" s="822">
        <f t="shared" si="17"/>
        <v>-203117750.5</v>
      </c>
      <c r="N89" s="822">
        <f t="shared" si="18"/>
        <v>-6373.5</v>
      </c>
      <c r="O89" s="822">
        <f t="shared" si="19"/>
        <v>68621</v>
      </c>
      <c r="P89" s="822">
        <f t="shared" si="20"/>
        <v>50590872.5</v>
      </c>
      <c r="Q89" s="822">
        <f t="shared" si="21"/>
        <v>4232277</v>
      </c>
      <c r="R89" s="822">
        <f t="shared" si="22"/>
        <v>32513024.541666668</v>
      </c>
      <c r="S89" s="817">
        <f t="shared" si="23"/>
        <v>-16926479.208333332</v>
      </c>
      <c r="T89" s="817">
        <f t="shared" si="24"/>
        <v>-531.125</v>
      </c>
      <c r="U89" s="817">
        <f t="shared" si="25"/>
        <v>5718.416666666667</v>
      </c>
      <c r="V89" s="817">
        <f t="shared" si="15"/>
        <v>4215906.041666667</v>
      </c>
      <c r="W89" s="817">
        <f t="shared" si="26"/>
        <v>352689.75</v>
      </c>
      <c r="X89" s="817"/>
      <c r="Y89" s="809"/>
      <c r="Z89" s="809"/>
      <c r="AA89" s="809"/>
      <c r="AB89" s="809"/>
      <c r="AC89" s="809"/>
      <c r="AD89" s="809"/>
      <c r="AE89" s="809"/>
      <c r="AF89" s="809"/>
      <c r="AG89" s="809"/>
      <c r="AH89" s="809"/>
      <c r="AI89" s="809"/>
      <c r="AJ89" s="809"/>
      <c r="AK89" s="810"/>
    </row>
    <row r="90" spans="1:37" ht="13.5">
      <c r="A90" s="808"/>
      <c r="B90" s="808"/>
      <c r="C90" s="808"/>
      <c r="D90" s="809" t="s">
        <v>215</v>
      </c>
      <c r="E90" s="821">
        <v>28901275</v>
      </c>
      <c r="F90" s="927">
        <v>5959493</v>
      </c>
      <c r="G90" s="927">
        <v>-69</v>
      </c>
      <c r="H90" s="821">
        <v>32976</v>
      </c>
      <c r="I90" s="858">
        <v>6119553</v>
      </c>
      <c r="J90" s="821">
        <v>1491369</v>
      </c>
      <c r="K90" s="808">
        <f t="shared" si="27"/>
        <v>2.5</v>
      </c>
      <c r="L90" s="822">
        <f t="shared" si="16"/>
        <v>72253187.5</v>
      </c>
      <c r="M90" s="822">
        <f t="shared" si="17"/>
        <v>14898732.5</v>
      </c>
      <c r="N90" s="822">
        <f t="shared" si="18"/>
        <v>-172.5</v>
      </c>
      <c r="O90" s="822">
        <f t="shared" si="19"/>
        <v>82440</v>
      </c>
      <c r="P90" s="822">
        <f t="shared" si="20"/>
        <v>15298882.5</v>
      </c>
      <c r="Q90" s="822">
        <f t="shared" si="21"/>
        <v>3728422.5</v>
      </c>
      <c r="R90" s="822">
        <f t="shared" si="22"/>
        <v>6021098.958333333</v>
      </c>
      <c r="S90" s="817">
        <f t="shared" si="23"/>
        <v>1241561.0416666667</v>
      </c>
      <c r="T90" s="817">
        <f t="shared" si="24"/>
        <v>-14.375</v>
      </c>
      <c r="U90" s="817">
        <f t="shared" si="25"/>
        <v>6870</v>
      </c>
      <c r="V90" s="817">
        <f t="shared" si="15"/>
        <v>1274906.875</v>
      </c>
      <c r="W90" s="817">
        <f t="shared" si="26"/>
        <v>310701.875</v>
      </c>
      <c r="X90" s="817"/>
      <c r="Y90" s="809"/>
      <c r="Z90" s="809"/>
      <c r="AA90" s="809"/>
      <c r="AB90" s="809"/>
      <c r="AC90" s="809"/>
      <c r="AD90" s="809"/>
      <c r="AE90" s="809"/>
      <c r="AF90" s="809"/>
      <c r="AG90" s="809"/>
      <c r="AH90" s="809"/>
      <c r="AI90" s="809"/>
      <c r="AJ90" s="809"/>
      <c r="AK90" s="810"/>
    </row>
    <row r="91" spans="1:37" ht="13.5">
      <c r="A91" s="808"/>
      <c r="B91" s="808"/>
      <c r="C91" s="808"/>
      <c r="D91" s="809" t="s">
        <v>216</v>
      </c>
      <c r="E91" s="821">
        <v>59132082</v>
      </c>
      <c r="F91" s="927">
        <v>-1135604</v>
      </c>
      <c r="G91" s="927">
        <v>-4936</v>
      </c>
      <c r="H91" s="821">
        <v>2985</v>
      </c>
      <c r="I91" s="858">
        <v>-836173</v>
      </c>
      <c r="J91" s="821">
        <v>433359</v>
      </c>
      <c r="K91" s="808">
        <f t="shared" si="27"/>
        <v>1.5</v>
      </c>
      <c r="L91" s="822">
        <f t="shared" si="16"/>
        <v>88698123</v>
      </c>
      <c r="M91" s="822">
        <f t="shared" si="17"/>
        <v>-1703406</v>
      </c>
      <c r="N91" s="822">
        <f t="shared" si="18"/>
        <v>-7404</v>
      </c>
      <c r="O91" s="822">
        <f t="shared" si="19"/>
        <v>4477.5</v>
      </c>
      <c r="P91" s="822">
        <f t="shared" si="20"/>
        <v>-1254259.5</v>
      </c>
      <c r="Q91" s="822">
        <f t="shared" si="21"/>
        <v>650038.5</v>
      </c>
      <c r="R91" s="822">
        <f t="shared" si="22"/>
        <v>7391510.25</v>
      </c>
      <c r="S91" s="817">
        <f t="shared" si="23"/>
        <v>-141950.5</v>
      </c>
      <c r="T91" s="817">
        <f t="shared" si="24"/>
        <v>-617</v>
      </c>
      <c r="U91" s="817">
        <f t="shared" si="25"/>
        <v>373.125</v>
      </c>
      <c r="V91" s="817">
        <f t="shared" si="15"/>
        <v>-104521.625</v>
      </c>
      <c r="W91" s="817">
        <f t="shared" si="26"/>
        <v>54169.875</v>
      </c>
      <c r="X91" s="817"/>
      <c r="Y91" s="809"/>
      <c r="Z91" s="809"/>
      <c r="AA91" s="809"/>
      <c r="AB91" s="809"/>
      <c r="AC91" s="809"/>
      <c r="AD91" s="809"/>
      <c r="AE91" s="809"/>
      <c r="AF91" s="809"/>
      <c r="AG91" s="809"/>
      <c r="AH91" s="809"/>
      <c r="AI91" s="809"/>
      <c r="AJ91" s="809"/>
      <c r="AK91" s="810"/>
    </row>
    <row r="92" spans="1:37" ht="13.5">
      <c r="A92" s="808"/>
      <c r="B92" s="808"/>
      <c r="C92" s="808"/>
      <c r="D92" s="809" t="s">
        <v>217</v>
      </c>
      <c r="E92" s="821">
        <v>58982000</v>
      </c>
      <c r="F92" s="927">
        <v>2581234</v>
      </c>
      <c r="G92" s="927">
        <v>-8895</v>
      </c>
      <c r="H92" s="821">
        <v>13979</v>
      </c>
      <c r="I92" s="858">
        <v>-34724201</v>
      </c>
      <c r="J92" s="821">
        <v>34138586</v>
      </c>
      <c r="K92" s="808">
        <f t="shared" si="27"/>
        <v>0.5</v>
      </c>
      <c r="L92" s="822">
        <f t="shared" si="16"/>
        <v>29491000</v>
      </c>
      <c r="M92" s="822">
        <f t="shared" si="17"/>
        <v>1290617</v>
      </c>
      <c r="N92" s="822">
        <f t="shared" si="18"/>
        <v>-4447.5</v>
      </c>
      <c r="O92" s="822">
        <f t="shared" si="19"/>
        <v>6989.5</v>
      </c>
      <c r="P92" s="822">
        <f t="shared" si="20"/>
        <v>-17362100.5</v>
      </c>
      <c r="Q92" s="822">
        <f t="shared" si="21"/>
        <v>17069293</v>
      </c>
      <c r="R92" s="822">
        <f t="shared" si="22"/>
        <v>2457583.3333333335</v>
      </c>
      <c r="S92" s="817">
        <f t="shared" si="23"/>
        <v>107551.41666666667</v>
      </c>
      <c r="T92" s="817">
        <f t="shared" si="24"/>
        <v>-370.625</v>
      </c>
      <c r="U92" s="817">
        <f t="shared" si="25"/>
        <v>582.4583333333334</v>
      </c>
      <c r="V92" s="817">
        <f t="shared" si="15"/>
        <v>-1446841.7083333333</v>
      </c>
      <c r="W92" s="817">
        <f t="shared" si="26"/>
        <v>1422441.0833333333</v>
      </c>
      <c r="X92" s="817"/>
      <c r="Y92" s="809"/>
      <c r="Z92" s="809"/>
      <c r="AA92" s="809"/>
      <c r="AB92" s="809"/>
      <c r="AC92" s="809"/>
      <c r="AD92" s="809"/>
      <c r="AE92" s="809"/>
      <c r="AF92" s="809"/>
      <c r="AG92" s="809"/>
      <c r="AH92" s="809"/>
      <c r="AI92" s="809"/>
      <c r="AJ92" s="809"/>
      <c r="AK92" s="810"/>
    </row>
    <row r="93" spans="1:37" ht="13.5">
      <c r="A93" s="808"/>
      <c r="B93" s="808"/>
      <c r="C93" s="808"/>
      <c r="D93" s="809" t="s">
        <v>476</v>
      </c>
      <c r="E93" s="822">
        <f>SUM(E81:E92)</f>
        <v>567547208.7099998</v>
      </c>
      <c r="F93" s="822">
        <f>SUM(F80:F92)</f>
        <v>44971138.42</v>
      </c>
      <c r="G93" s="822">
        <f>SUM(G80:G92)</f>
        <v>-274179</v>
      </c>
      <c r="H93" s="822">
        <f>SUM(H81:H92)</f>
        <v>5963581</v>
      </c>
      <c r="I93" s="822">
        <f>SUM(I80:I92)</f>
        <v>1417772</v>
      </c>
      <c r="J93" s="822">
        <f>SUM(J81:J92)</f>
        <v>388141907</v>
      </c>
      <c r="K93" s="809"/>
      <c r="L93" s="822">
        <f>SUM(L81:L92)</f>
        <v>2862708121.4849987</v>
      </c>
      <c r="M93" s="822">
        <f>SUM(M80:M92)</f>
        <v>1039547813.0100002</v>
      </c>
      <c r="N93" s="822">
        <f>SUM(N80:N92)</f>
        <v>11112855.5</v>
      </c>
      <c r="O93" s="822">
        <f>SUM(O81:O92)</f>
        <v>52154257.5</v>
      </c>
      <c r="P93" s="822">
        <f>SUM(P80:P92)</f>
        <v>1787095186</v>
      </c>
      <c r="Q93" s="822">
        <f>SUM(Q81:Q92)</f>
        <v>2611723803.5</v>
      </c>
      <c r="R93" s="822">
        <f aca="true" t="shared" si="28" ref="R93:W93">SUM(R80:R92)</f>
        <v>238559010.12374988</v>
      </c>
      <c r="S93" s="822">
        <f>SUM(S80:S92)</f>
        <v>86628984.4175</v>
      </c>
      <c r="T93" s="822">
        <f t="shared" si="28"/>
        <v>926071.2916666669</v>
      </c>
      <c r="U93" s="822">
        <f t="shared" si="28"/>
        <v>4346188.125</v>
      </c>
      <c r="V93" s="822">
        <f t="shared" si="28"/>
        <v>148924598.8333333</v>
      </c>
      <c r="W93" s="822">
        <f t="shared" si="28"/>
        <v>217643650.2916667</v>
      </c>
      <c r="X93" s="817"/>
      <c r="Y93" s="817"/>
      <c r="Z93" s="822"/>
      <c r="AA93" s="809"/>
      <c r="AB93" s="809"/>
      <c r="AC93" s="809"/>
      <c r="AD93" s="809"/>
      <c r="AE93" s="809"/>
      <c r="AF93" s="809"/>
      <c r="AG93" s="809"/>
      <c r="AH93" s="809"/>
      <c r="AI93" s="809"/>
      <c r="AJ93" s="809"/>
      <c r="AK93" s="810"/>
    </row>
    <row r="94" spans="1:29" ht="13.5">
      <c r="A94" s="808"/>
      <c r="B94" s="808"/>
      <c r="C94" s="808"/>
      <c r="D94" s="809" t="s">
        <v>129</v>
      </c>
      <c r="E94" s="809"/>
      <c r="G94" s="809"/>
      <c r="H94" s="809"/>
      <c r="I94" s="809"/>
      <c r="J94" s="809"/>
      <c r="N94" s="823"/>
      <c r="O94" s="823"/>
      <c r="P94" s="823"/>
      <c r="Q94" s="823"/>
      <c r="R94" s="809"/>
      <c r="S94" s="809"/>
      <c r="T94" s="809"/>
      <c r="U94" s="809"/>
      <c r="V94" s="809"/>
      <c r="W94" s="809"/>
      <c r="X94" s="809"/>
      <c r="Y94" s="809"/>
      <c r="Z94" s="809"/>
      <c r="AA94" s="809"/>
      <c r="AB94" s="809"/>
      <c r="AC94" s="810"/>
    </row>
    <row r="95" spans="1:29" ht="13.5">
      <c r="A95" s="808"/>
      <c r="B95" s="808"/>
      <c r="C95" s="808"/>
      <c r="D95" s="809"/>
      <c r="E95" s="809"/>
      <c r="I95" s="809"/>
      <c r="J95" s="809"/>
      <c r="L95" s="823"/>
      <c r="M95" s="809"/>
      <c r="N95" s="822"/>
      <c r="O95" s="822"/>
      <c r="P95" s="823" t="s">
        <v>155</v>
      </c>
      <c r="Q95" s="809"/>
      <c r="R95" s="822">
        <f>R93</f>
        <v>238559010.12374988</v>
      </c>
      <c r="S95" s="822"/>
      <c r="T95" s="822"/>
      <c r="U95" s="822">
        <f>U93</f>
        <v>4346188.125</v>
      </c>
      <c r="V95" s="822"/>
      <c r="W95" s="822">
        <f>W93</f>
        <v>217643650.2916667</v>
      </c>
      <c r="X95" s="822">
        <f>SUM(R95:W95)</f>
        <v>460548848.5404166</v>
      </c>
      <c r="Y95" s="809"/>
      <c r="Z95" s="809"/>
      <c r="AA95" s="809"/>
      <c r="AB95" s="809"/>
      <c r="AC95" s="810"/>
    </row>
    <row r="96" spans="1:29" ht="13.5">
      <c r="A96" s="808"/>
      <c r="B96" s="808"/>
      <c r="C96" s="808"/>
      <c r="D96" s="809"/>
      <c r="E96" s="809"/>
      <c r="G96" s="809"/>
      <c r="H96" s="809"/>
      <c r="I96" s="822"/>
      <c r="J96" s="809"/>
      <c r="L96" s="809"/>
      <c r="M96" s="809"/>
      <c r="N96" s="809"/>
      <c r="O96" s="809"/>
      <c r="P96" s="809" t="s">
        <v>149</v>
      </c>
      <c r="Q96" s="809"/>
      <c r="R96" s="809"/>
      <c r="S96" s="822">
        <f>S93</f>
        <v>86628984.4175</v>
      </c>
      <c r="T96" s="822">
        <f>T93</f>
        <v>926071.2916666669</v>
      </c>
      <c r="U96" s="809"/>
      <c r="V96" s="822">
        <f>V93</f>
        <v>148924598.8333333</v>
      </c>
      <c r="W96" s="809"/>
      <c r="X96" s="822">
        <f>SUM(R96:W96)</f>
        <v>236479654.5425</v>
      </c>
      <c r="Y96" s="809"/>
      <c r="Z96" s="809"/>
      <c r="AA96" s="809"/>
      <c r="AB96" s="809"/>
      <c r="AC96" s="810"/>
    </row>
    <row r="97" spans="1:29" ht="13.5">
      <c r="A97" s="808"/>
      <c r="B97" s="808"/>
      <c r="C97" s="808"/>
      <c r="D97" s="809"/>
      <c r="E97" s="809"/>
      <c r="G97" s="809"/>
      <c r="H97" s="809"/>
      <c r="I97" s="822"/>
      <c r="J97" s="809"/>
      <c r="L97" s="809"/>
      <c r="M97" s="809"/>
      <c r="N97" s="824"/>
      <c r="O97" s="824"/>
      <c r="P97" s="809" t="s">
        <v>130</v>
      </c>
      <c r="Q97" s="809"/>
      <c r="R97" s="824">
        <f>IF(ISERROR(12-R95/E93*12),0,12-R95/E93*12)</f>
        <v>6.9559999986754235</v>
      </c>
      <c r="S97" s="824">
        <f>IF(ISERROR(12-S96/F93*12),0,12-S96/F93*12)</f>
        <v>-11.115888312662378</v>
      </c>
      <c r="T97" s="824">
        <f>IF(ISERROR(12-T96/G93*12),0,12-T96/G93*12)</f>
        <v>52.53138825365912</v>
      </c>
      <c r="U97" s="824">
        <f>IF(ISERROR(12-U95/H93*12),0,12-U95/H93*12)</f>
        <v>3.254540266997296</v>
      </c>
      <c r="V97" s="824">
        <f>IF(ISERROR(12-V96/I93*12),0,12-V96/I93*12)</f>
        <v>-1248.49547176838</v>
      </c>
      <c r="W97" s="824">
        <f>IF(ISERROR(12-W95/J93*12),0,12-W95/J93*12)</f>
        <v>5.271214067848644</v>
      </c>
      <c r="X97" s="809"/>
      <c r="Y97" s="809"/>
      <c r="Z97" s="809"/>
      <c r="AA97" s="809"/>
      <c r="AB97" s="809"/>
      <c r="AC97" s="810"/>
    </row>
    <row r="98" spans="1:29" ht="13.5">
      <c r="A98" s="808"/>
      <c r="B98" s="808"/>
      <c r="C98" s="808"/>
      <c r="D98" s="830">
        <v>293491586.55605876</v>
      </c>
      <c r="E98" s="831" t="s">
        <v>490</v>
      </c>
      <c r="F98" s="809"/>
      <c r="G98" s="819" t="s">
        <v>157</v>
      </c>
      <c r="H98" s="839"/>
      <c r="I98" s="840"/>
      <c r="J98" s="840"/>
      <c r="K98" s="840"/>
      <c r="L98" s="809"/>
      <c r="M98" s="809"/>
      <c r="N98" s="809"/>
      <c r="O98" s="809"/>
      <c r="P98" s="809"/>
      <c r="Q98" s="809"/>
      <c r="R98" s="809"/>
      <c r="S98" s="809"/>
      <c r="T98" s="809"/>
      <c r="U98" s="809"/>
      <c r="V98" s="809"/>
      <c r="W98" s="809"/>
      <c r="X98" s="809"/>
      <c r="Y98" s="809"/>
      <c r="Z98" s="809"/>
      <c r="AA98" s="809"/>
      <c r="AB98" s="809"/>
      <c r="AC98" s="810"/>
    </row>
    <row r="99" spans="2:29" ht="13.5">
      <c r="B99" s="808"/>
      <c r="C99" s="808"/>
      <c r="E99" s="809" t="s">
        <v>131</v>
      </c>
      <c r="F99" s="809"/>
      <c r="G99" s="836"/>
      <c r="H99" s="841"/>
      <c r="I99" s="836"/>
      <c r="J99" s="809"/>
      <c r="K99" s="809"/>
      <c r="L99" s="809"/>
      <c r="M99" s="809"/>
      <c r="N99" s="809"/>
      <c r="O99" s="809"/>
      <c r="P99" s="809"/>
      <c r="Q99" s="809"/>
      <c r="R99" s="809"/>
      <c r="S99" s="809"/>
      <c r="T99" s="809"/>
      <c r="U99" s="809"/>
      <c r="V99" s="809"/>
      <c r="W99" s="809"/>
      <c r="X99" s="809"/>
      <c r="Y99" s="809"/>
      <c r="Z99" s="809"/>
      <c r="AA99" s="809"/>
      <c r="AB99" s="809"/>
      <c r="AC99" s="810"/>
    </row>
    <row r="100" spans="1:29" ht="13.5">
      <c r="A100" s="808"/>
      <c r="B100" s="808"/>
      <c r="C100" s="808"/>
      <c r="D100" s="831"/>
      <c r="E100" s="809"/>
      <c r="F100" s="809"/>
      <c r="G100" s="836"/>
      <c r="H100" s="841"/>
      <c r="I100" s="836"/>
      <c r="J100" s="809"/>
      <c r="K100" s="809"/>
      <c r="L100" s="809"/>
      <c r="M100" s="809"/>
      <c r="N100" s="809"/>
      <c r="O100" s="809"/>
      <c r="P100" s="809"/>
      <c r="Q100" s="809"/>
      <c r="R100" s="809"/>
      <c r="S100" s="809"/>
      <c r="T100" s="809"/>
      <c r="U100" s="809"/>
      <c r="V100" s="809"/>
      <c r="W100" s="809"/>
      <c r="X100" s="809"/>
      <c r="Y100" s="809"/>
      <c r="Z100" s="809"/>
      <c r="AA100" s="809"/>
      <c r="AB100" s="809"/>
      <c r="AC100" s="810"/>
    </row>
    <row r="101" spans="1:29" ht="13.5">
      <c r="A101" s="808">
        <v>8</v>
      </c>
      <c r="B101" s="808" t="str">
        <f>+B19</f>
        <v>April</v>
      </c>
      <c r="C101" s="808" t="str">
        <f>+C19</f>
        <v>Year 3</v>
      </c>
      <c r="D101" s="813" t="str">
        <f>+D19</f>
        <v>Reconciliation - TO adds the difference between the Reconciliation in Step 7 and the forecast in Line 5 with interest to the result of Step 7 (this difference is also added to Step 8 in the subsequent year)</v>
      </c>
      <c r="E101" s="809"/>
      <c r="F101" s="809"/>
      <c r="G101" s="809"/>
      <c r="H101" s="809"/>
      <c r="I101" s="809"/>
      <c r="J101" s="809"/>
      <c r="K101" s="809"/>
      <c r="L101" s="809"/>
      <c r="M101" s="809"/>
      <c r="N101" s="809"/>
      <c r="O101" s="809"/>
      <c r="P101" s="809"/>
      <c r="Q101" s="809"/>
      <c r="R101" s="809"/>
      <c r="S101" s="809"/>
      <c r="T101" s="809"/>
      <c r="U101" s="809"/>
      <c r="V101" s="809"/>
      <c r="W101" s="809"/>
      <c r="X101" s="809"/>
      <c r="Y101" s="809"/>
      <c r="Z101" s="809"/>
      <c r="AA101" s="809"/>
      <c r="AB101" s="809"/>
      <c r="AC101" s="810"/>
    </row>
    <row r="102" spans="1:29" ht="13.5">
      <c r="A102" s="808"/>
      <c r="B102" s="808"/>
      <c r="C102" s="808"/>
      <c r="D102" s="813"/>
      <c r="E102" s="809"/>
      <c r="F102" s="809"/>
      <c r="G102" s="809"/>
      <c r="H102" s="809"/>
      <c r="I102" s="809"/>
      <c r="J102" s="809"/>
      <c r="K102" s="809"/>
      <c r="L102" s="809"/>
      <c r="M102" s="809"/>
      <c r="N102" s="809"/>
      <c r="O102" s="809"/>
      <c r="P102" s="809"/>
      <c r="Q102" s="809"/>
      <c r="R102" s="809"/>
      <c r="S102" s="809"/>
      <c r="T102" s="809"/>
      <c r="U102" s="809"/>
      <c r="V102" s="809"/>
      <c r="W102" s="809"/>
      <c r="X102" s="809"/>
      <c r="Y102" s="809"/>
      <c r="Z102" s="809"/>
      <c r="AA102" s="809"/>
      <c r="AB102" s="809"/>
      <c r="AC102" s="810"/>
    </row>
    <row r="103" spans="1:29" ht="13.5">
      <c r="A103" s="808"/>
      <c r="B103" s="808"/>
      <c r="C103" s="808"/>
      <c r="D103" s="813" t="s">
        <v>491</v>
      </c>
      <c r="E103" s="809"/>
      <c r="F103" s="809" t="s">
        <v>257</v>
      </c>
      <c r="G103" s="809"/>
      <c r="H103" s="809"/>
      <c r="I103" s="809"/>
      <c r="J103" s="809"/>
      <c r="K103" s="809"/>
      <c r="L103" s="809"/>
      <c r="M103" s="809"/>
      <c r="N103" s="809"/>
      <c r="O103" s="809"/>
      <c r="P103" s="809"/>
      <c r="Q103" s="809"/>
      <c r="R103" s="809"/>
      <c r="S103" s="809"/>
      <c r="T103" s="809"/>
      <c r="U103" s="809"/>
      <c r="V103" s="809"/>
      <c r="W103" s="809"/>
      <c r="X103" s="809"/>
      <c r="Y103" s="809"/>
      <c r="Z103" s="809"/>
      <c r="AA103" s="809"/>
      <c r="AB103" s="809"/>
      <c r="AC103" s="810"/>
    </row>
    <row r="104" spans="1:29" ht="15.75">
      <c r="A104" s="808"/>
      <c r="B104" s="808"/>
      <c r="C104" s="808"/>
      <c r="D104" s="841">
        <f>+D98</f>
        <v>293491586.55605876</v>
      </c>
      <c r="E104" s="808" t="str">
        <f>"-"</f>
        <v>-</v>
      </c>
      <c r="F104" s="841">
        <f>IF(D104=0,0,D58)</f>
        <v>318398173</v>
      </c>
      <c r="G104" s="808" t="str">
        <f>"="</f>
        <v>=</v>
      </c>
      <c r="H104" s="822">
        <f>+D104-F104</f>
        <v>-24906586.443941236</v>
      </c>
      <c r="I104" s="226"/>
      <c r="J104" s="822"/>
      <c r="K104" s="822"/>
      <c r="L104" s="50"/>
      <c r="M104" s="1052"/>
      <c r="N104" s="809"/>
      <c r="O104" s="809"/>
      <c r="P104" s="809"/>
      <c r="Q104" s="809"/>
      <c r="R104" s="809"/>
      <c r="S104" s="809"/>
      <c r="T104" s="809"/>
      <c r="U104" s="809"/>
      <c r="V104" s="809"/>
      <c r="W104" s="809"/>
      <c r="X104" s="809"/>
      <c r="Y104" s="809"/>
      <c r="Z104" s="809"/>
      <c r="AA104" s="809"/>
      <c r="AB104" s="809"/>
      <c r="AC104" s="810"/>
    </row>
    <row r="105" spans="1:29" ht="15.75">
      <c r="A105" s="808"/>
      <c r="B105" s="808"/>
      <c r="C105" s="808"/>
      <c r="D105" s="842"/>
      <c r="E105" s="808"/>
      <c r="F105" s="822"/>
      <c r="G105" s="808"/>
      <c r="H105" s="822"/>
      <c r="I105" s="809"/>
      <c r="J105" s="226"/>
      <c r="K105" s="50"/>
      <c r="L105" s="50"/>
      <c r="M105" s="334"/>
      <c r="N105" s="809"/>
      <c r="O105" s="809"/>
      <c r="P105" s="809"/>
      <c r="Q105" s="809"/>
      <c r="R105" s="809"/>
      <c r="S105" s="809"/>
      <c r="T105" s="809"/>
      <c r="U105" s="809"/>
      <c r="V105" s="809"/>
      <c r="W105" s="809"/>
      <c r="X105" s="809"/>
      <c r="Y105" s="809"/>
      <c r="Z105" s="809"/>
      <c r="AA105" s="809"/>
      <c r="AB105" s="809"/>
      <c r="AC105" s="810"/>
    </row>
    <row r="106" spans="1:29" ht="15.75">
      <c r="A106" s="808"/>
      <c r="B106" s="808"/>
      <c r="C106" s="808"/>
      <c r="D106" s="843" t="s">
        <v>218</v>
      </c>
      <c r="E106" s="808"/>
      <c r="F106" s="822"/>
      <c r="G106" s="808"/>
      <c r="H106" s="822"/>
      <c r="I106" s="809"/>
      <c r="J106" s="226"/>
      <c r="K106" s="50"/>
      <c r="L106" s="50"/>
      <c r="M106" s="334"/>
      <c r="N106" s="809"/>
      <c r="O106" s="809"/>
      <c r="P106" s="809"/>
      <c r="Q106" s="809"/>
      <c r="R106" s="809"/>
      <c r="S106" s="809"/>
      <c r="T106" s="809"/>
      <c r="U106" s="809"/>
      <c r="V106" s="809"/>
      <c r="W106" s="809"/>
      <c r="X106" s="809"/>
      <c r="Y106" s="809"/>
      <c r="Z106" s="809"/>
      <c r="AA106" s="809"/>
      <c r="AB106" s="809"/>
      <c r="AC106" s="810"/>
    </row>
    <row r="107" spans="1:29" ht="15.75">
      <c r="A107" s="808"/>
      <c r="B107" s="808"/>
      <c r="C107" s="808"/>
      <c r="D107" s="1161" t="s">
        <v>132</v>
      </c>
      <c r="E107" s="1161"/>
      <c r="F107" s="844">
        <v>0.0028</v>
      </c>
      <c r="G107" s="808"/>
      <c r="H107" s="822"/>
      <c r="I107" s="809"/>
      <c r="J107" s="226"/>
      <c r="K107" s="50"/>
      <c r="L107" s="50"/>
      <c r="M107" s="334"/>
      <c r="N107" s="809"/>
      <c r="O107" s="809"/>
      <c r="P107" s="809"/>
      <c r="Q107" s="809"/>
      <c r="R107" s="809"/>
      <c r="S107" s="809"/>
      <c r="T107" s="809"/>
      <c r="U107" s="809"/>
      <c r="V107" s="809"/>
      <c r="W107" s="809"/>
      <c r="X107" s="809"/>
      <c r="Y107" s="809"/>
      <c r="Z107" s="809"/>
      <c r="AA107" s="809"/>
      <c r="AB107" s="809"/>
      <c r="AC107" s="810"/>
    </row>
    <row r="108" spans="1:29" ht="13.5">
      <c r="A108" s="808"/>
      <c r="B108" s="808"/>
      <c r="C108" s="808"/>
      <c r="D108" s="845" t="s">
        <v>196</v>
      </c>
      <c r="E108" s="808" t="s">
        <v>219</v>
      </c>
      <c r="F108" s="808" t="s">
        <v>695</v>
      </c>
      <c r="G108" s="845" t="s">
        <v>133</v>
      </c>
      <c r="H108" s="808"/>
      <c r="I108" s="845" t="s">
        <v>220</v>
      </c>
      <c r="J108" s="846" t="s">
        <v>94</v>
      </c>
      <c r="K108" s="809"/>
      <c r="L108" s="809"/>
      <c r="M108" s="809"/>
      <c r="N108" s="809"/>
      <c r="O108" s="809"/>
      <c r="P108" s="809"/>
      <c r="Q108" s="809"/>
      <c r="R108" s="809"/>
      <c r="S108" s="809"/>
      <c r="T108" s="809"/>
      <c r="U108" s="809"/>
      <c r="V108" s="809"/>
      <c r="W108" s="809"/>
      <c r="X108" s="809"/>
      <c r="Y108" s="809"/>
      <c r="Z108" s="809"/>
      <c r="AA108" s="809"/>
      <c r="AB108" s="809"/>
      <c r="AC108" s="810"/>
    </row>
    <row r="109" spans="1:29" ht="13.5">
      <c r="A109" s="808"/>
      <c r="B109" s="808"/>
      <c r="C109" s="808"/>
      <c r="D109" s="808"/>
      <c r="E109" s="808"/>
      <c r="F109" s="808" t="s">
        <v>693</v>
      </c>
      <c r="G109" s="808" t="s">
        <v>134</v>
      </c>
      <c r="H109" s="808" t="s">
        <v>221</v>
      </c>
      <c r="I109" s="808"/>
      <c r="J109" s="808"/>
      <c r="K109" s="809" t="s">
        <v>696</v>
      </c>
      <c r="L109" s="809"/>
      <c r="M109" s="809"/>
      <c r="N109" s="809"/>
      <c r="O109" s="809"/>
      <c r="P109" s="809"/>
      <c r="Q109" s="809"/>
      <c r="R109" s="809"/>
      <c r="S109" s="809"/>
      <c r="T109" s="809"/>
      <c r="U109" s="809"/>
      <c r="V109" s="809"/>
      <c r="W109" s="809"/>
      <c r="X109" s="809"/>
      <c r="Y109" s="809"/>
      <c r="Z109" s="809"/>
      <c r="AA109" s="809"/>
      <c r="AB109" s="809"/>
      <c r="AC109" s="810"/>
    </row>
    <row r="110" spans="1:29" ht="13.5">
      <c r="A110" s="808"/>
      <c r="B110" s="808"/>
      <c r="C110" s="808"/>
      <c r="D110" s="809" t="s">
        <v>211</v>
      </c>
      <c r="E110" s="809" t="s">
        <v>170</v>
      </c>
      <c r="F110" s="822">
        <f>H104/12</f>
        <v>-2075548.8703284364</v>
      </c>
      <c r="G110" s="847">
        <f>+F107</f>
        <v>0.0028</v>
      </c>
      <c r="H110" s="809">
        <v>11.5</v>
      </c>
      <c r="I110" s="817">
        <f aca="true" t="shared" si="29" ref="I110:I121">+H110*G110*F110</f>
        <v>-66832.67362457565</v>
      </c>
      <c r="J110" s="817">
        <f>+F110+I110</f>
        <v>-2142381.543953012</v>
      </c>
      <c r="K110" s="809" t="s">
        <v>694</v>
      </c>
      <c r="L110" s="809"/>
      <c r="M110" s="809"/>
      <c r="N110" s="809"/>
      <c r="O110" s="809"/>
      <c r="P110" s="809"/>
      <c r="Q110" s="809"/>
      <c r="R110" s="809"/>
      <c r="S110" s="809"/>
      <c r="T110" s="809"/>
      <c r="U110" s="809"/>
      <c r="V110" s="809"/>
      <c r="W110" s="809"/>
      <c r="X110" s="809"/>
      <c r="Y110" s="809"/>
      <c r="Z110" s="809"/>
      <c r="AA110" s="809"/>
      <c r="AB110" s="809"/>
      <c r="AC110" s="810"/>
    </row>
    <row r="111" spans="1:29" ht="13.5">
      <c r="A111" s="808"/>
      <c r="B111" s="808"/>
      <c r="C111" s="808"/>
      <c r="D111" s="809" t="s">
        <v>212</v>
      </c>
      <c r="E111" s="809" t="str">
        <f aca="true" t="shared" si="30" ref="E111:G121">+E110</f>
        <v>Year 1</v>
      </c>
      <c r="F111" s="822">
        <f t="shared" si="30"/>
        <v>-2075548.8703284364</v>
      </c>
      <c r="G111" s="848">
        <f t="shared" si="30"/>
        <v>0.0028</v>
      </c>
      <c r="H111" s="809">
        <f aca="true" t="shared" si="31" ref="H111:H121">+H110-1</f>
        <v>10.5</v>
      </c>
      <c r="I111" s="817">
        <f t="shared" si="29"/>
        <v>-61021.136787656025</v>
      </c>
      <c r="J111" s="817">
        <f>+F111+I111</f>
        <v>-2136570.0071160924</v>
      </c>
      <c r="K111" s="809" t="s">
        <v>722</v>
      </c>
      <c r="L111" s="809"/>
      <c r="M111" s="809"/>
      <c r="N111" s="809"/>
      <c r="O111" s="809"/>
      <c r="P111" s="809"/>
      <c r="Q111" s="809"/>
      <c r="R111" s="809"/>
      <c r="S111" s="809"/>
      <c r="T111" s="809"/>
      <c r="U111" s="809"/>
      <c r="V111" s="809"/>
      <c r="W111" s="809"/>
      <c r="X111" s="809"/>
      <c r="Y111" s="809"/>
      <c r="Z111" s="809"/>
      <c r="AA111" s="809"/>
      <c r="AB111" s="809"/>
      <c r="AC111" s="810"/>
    </row>
    <row r="112" spans="1:29" ht="13.5">
      <c r="A112" s="808"/>
      <c r="B112" s="808"/>
      <c r="C112" s="808"/>
      <c r="D112" s="809" t="s">
        <v>213</v>
      </c>
      <c r="E112" s="809" t="str">
        <f t="shared" si="30"/>
        <v>Year 1</v>
      </c>
      <c r="F112" s="822">
        <f t="shared" si="30"/>
        <v>-2075548.8703284364</v>
      </c>
      <c r="G112" s="848">
        <f t="shared" si="30"/>
        <v>0.0028</v>
      </c>
      <c r="H112" s="809">
        <f t="shared" si="31"/>
        <v>9.5</v>
      </c>
      <c r="I112" s="817">
        <f t="shared" si="29"/>
        <v>-55209.5999507364</v>
      </c>
      <c r="J112" s="817">
        <f>+F112+I112</f>
        <v>-2130758.470279173</v>
      </c>
      <c r="K112" s="809"/>
      <c r="L112" s="809"/>
      <c r="M112" s="809"/>
      <c r="N112" s="809"/>
      <c r="O112" s="809"/>
      <c r="P112" s="809"/>
      <c r="Q112" s="809"/>
      <c r="R112" s="809"/>
      <c r="S112" s="809"/>
      <c r="T112" s="809"/>
      <c r="U112" s="809"/>
      <c r="V112" s="809"/>
      <c r="W112" s="809"/>
      <c r="X112" s="809"/>
      <c r="Y112" s="809"/>
      <c r="Z112" s="809"/>
      <c r="AA112" s="809"/>
      <c r="AB112" s="809"/>
      <c r="AC112" s="810"/>
    </row>
    <row r="113" spans="1:29" ht="13.5">
      <c r="A113" s="808"/>
      <c r="B113" s="808"/>
      <c r="C113" s="808"/>
      <c r="D113" s="809" t="s">
        <v>214</v>
      </c>
      <c r="E113" s="809" t="str">
        <f t="shared" si="30"/>
        <v>Year 1</v>
      </c>
      <c r="F113" s="822">
        <f t="shared" si="30"/>
        <v>-2075548.8703284364</v>
      </c>
      <c r="G113" s="848">
        <f t="shared" si="30"/>
        <v>0.0028</v>
      </c>
      <c r="H113" s="809">
        <f t="shared" si="31"/>
        <v>8.5</v>
      </c>
      <c r="I113" s="817">
        <f t="shared" si="29"/>
        <v>-49398.06311381678</v>
      </c>
      <c r="J113" s="817">
        <f>+F113+I113</f>
        <v>-2124946.933442253</v>
      </c>
      <c r="K113" s="809"/>
      <c r="L113" s="809"/>
      <c r="M113" s="809"/>
      <c r="N113" s="809"/>
      <c r="O113" s="809"/>
      <c r="P113" s="809"/>
      <c r="Q113" s="809"/>
      <c r="R113" s="809"/>
      <c r="S113" s="809"/>
      <c r="T113" s="809"/>
      <c r="U113" s="809"/>
      <c r="V113" s="809"/>
      <c r="W113" s="809"/>
      <c r="X113" s="809"/>
      <c r="Y113" s="809"/>
      <c r="Z113" s="809"/>
      <c r="AA113" s="809"/>
      <c r="AB113" s="809"/>
      <c r="AC113" s="810"/>
    </row>
    <row r="114" spans="1:29" ht="13.5">
      <c r="A114" s="808"/>
      <c r="B114" s="808"/>
      <c r="C114" s="808"/>
      <c r="D114" s="809" t="s">
        <v>215</v>
      </c>
      <c r="E114" s="809" t="str">
        <f t="shared" si="30"/>
        <v>Year 1</v>
      </c>
      <c r="F114" s="822">
        <f t="shared" si="30"/>
        <v>-2075548.8703284364</v>
      </c>
      <c r="G114" s="848">
        <f t="shared" si="30"/>
        <v>0.0028</v>
      </c>
      <c r="H114" s="809">
        <f t="shared" si="31"/>
        <v>7.5</v>
      </c>
      <c r="I114" s="817">
        <f t="shared" si="29"/>
        <v>-43586.526276897166</v>
      </c>
      <c r="J114" s="817">
        <f>+F114+I114</f>
        <v>-2119135.3966053333</v>
      </c>
      <c r="K114" s="809"/>
      <c r="L114" s="809"/>
      <c r="M114" s="809"/>
      <c r="N114" s="809"/>
      <c r="O114" s="809"/>
      <c r="P114" s="809"/>
      <c r="Q114" s="809"/>
      <c r="R114" s="809"/>
      <c r="S114" s="809"/>
      <c r="T114" s="809"/>
      <c r="U114" s="809"/>
      <c r="V114" s="809"/>
      <c r="W114" s="809"/>
      <c r="X114" s="809"/>
      <c r="Y114" s="809"/>
      <c r="Z114" s="809"/>
      <c r="AA114" s="809"/>
      <c r="AB114" s="809"/>
      <c r="AC114" s="810"/>
    </row>
    <row r="115" spans="1:29" ht="13.5">
      <c r="A115" s="808"/>
      <c r="B115" s="808"/>
      <c r="C115" s="808"/>
      <c r="D115" s="809" t="s">
        <v>216</v>
      </c>
      <c r="E115" s="809" t="str">
        <f t="shared" si="30"/>
        <v>Year 1</v>
      </c>
      <c r="F115" s="822">
        <f t="shared" si="30"/>
        <v>-2075548.8703284364</v>
      </c>
      <c r="G115" s="848">
        <f t="shared" si="30"/>
        <v>0.0028</v>
      </c>
      <c r="H115" s="809">
        <f t="shared" si="31"/>
        <v>6.5</v>
      </c>
      <c r="I115" s="817">
        <f t="shared" si="29"/>
        <v>-37774.989439977544</v>
      </c>
      <c r="J115" s="817">
        <f aca="true" t="shared" si="32" ref="J115:J121">+F115+I115</f>
        <v>-2113323.859768414</v>
      </c>
      <c r="K115" s="809"/>
      <c r="L115" s="809"/>
      <c r="M115" s="809"/>
      <c r="N115" s="809"/>
      <c r="O115" s="809"/>
      <c r="P115" s="809"/>
      <c r="Q115" s="809"/>
      <c r="R115" s="809"/>
      <c r="S115" s="809"/>
      <c r="T115" s="809"/>
      <c r="U115" s="809"/>
      <c r="V115" s="809"/>
      <c r="W115" s="809"/>
      <c r="X115" s="809"/>
      <c r="Y115" s="809"/>
      <c r="Z115" s="809"/>
      <c r="AA115" s="809"/>
      <c r="AB115" s="809"/>
      <c r="AC115" s="810"/>
    </row>
    <row r="116" spans="1:29" ht="13.5">
      <c r="A116" s="808"/>
      <c r="B116" s="808"/>
      <c r="C116" s="808"/>
      <c r="D116" s="809" t="s">
        <v>217</v>
      </c>
      <c r="E116" s="809" t="str">
        <f t="shared" si="30"/>
        <v>Year 1</v>
      </c>
      <c r="F116" s="822">
        <f t="shared" si="30"/>
        <v>-2075548.8703284364</v>
      </c>
      <c r="G116" s="848">
        <f t="shared" si="30"/>
        <v>0.0028</v>
      </c>
      <c r="H116" s="809">
        <f t="shared" si="31"/>
        <v>5.5</v>
      </c>
      <c r="I116" s="817">
        <f t="shared" si="29"/>
        <v>-31963.45260305792</v>
      </c>
      <c r="J116" s="817">
        <f t="shared" si="32"/>
        <v>-2107512.322931494</v>
      </c>
      <c r="K116" s="809"/>
      <c r="L116" s="809"/>
      <c r="M116" s="809"/>
      <c r="N116" s="809"/>
      <c r="O116" s="809"/>
      <c r="P116" s="809"/>
      <c r="Q116" s="809"/>
      <c r="R116" s="809"/>
      <c r="S116" s="809"/>
      <c r="T116" s="809"/>
      <c r="U116" s="809"/>
      <c r="V116" s="809"/>
      <c r="W116" s="809"/>
      <c r="X116" s="809"/>
      <c r="Y116" s="809"/>
      <c r="Z116" s="809"/>
      <c r="AA116" s="809"/>
      <c r="AB116" s="809"/>
      <c r="AC116" s="810"/>
    </row>
    <row r="117" spans="1:29" ht="13.5">
      <c r="A117" s="808"/>
      <c r="B117" s="808"/>
      <c r="C117" s="808"/>
      <c r="D117" s="809" t="s">
        <v>207</v>
      </c>
      <c r="E117" s="809" t="s">
        <v>191</v>
      </c>
      <c r="F117" s="822">
        <f t="shared" si="30"/>
        <v>-2075548.8703284364</v>
      </c>
      <c r="G117" s="848">
        <f t="shared" si="30"/>
        <v>0.0028</v>
      </c>
      <c r="H117" s="809">
        <f t="shared" si="31"/>
        <v>4.5</v>
      </c>
      <c r="I117" s="817">
        <f t="shared" si="29"/>
        <v>-26151.9157661383</v>
      </c>
      <c r="J117" s="817">
        <f t="shared" si="32"/>
        <v>-2101700.7860945747</v>
      </c>
      <c r="K117" s="809"/>
      <c r="L117" s="809"/>
      <c r="M117" s="809"/>
      <c r="N117" s="809"/>
      <c r="O117" s="809"/>
      <c r="P117" s="809"/>
      <c r="Q117" s="809"/>
      <c r="R117" s="809"/>
      <c r="S117" s="809"/>
      <c r="T117" s="809"/>
      <c r="U117" s="809"/>
      <c r="V117" s="809"/>
      <c r="W117" s="809"/>
      <c r="X117" s="809"/>
      <c r="Y117" s="809"/>
      <c r="Z117" s="809"/>
      <c r="AA117" s="809"/>
      <c r="AB117" s="809"/>
      <c r="AC117" s="810"/>
    </row>
    <row r="118" spans="1:29" ht="13.5">
      <c r="A118" s="808"/>
      <c r="B118" s="808"/>
      <c r="C118" s="808"/>
      <c r="D118" s="809" t="s">
        <v>208</v>
      </c>
      <c r="E118" s="809" t="str">
        <f>+E117</f>
        <v>Year 2</v>
      </c>
      <c r="F118" s="822">
        <f t="shared" si="30"/>
        <v>-2075548.8703284364</v>
      </c>
      <c r="G118" s="848">
        <f t="shared" si="30"/>
        <v>0.0028</v>
      </c>
      <c r="H118" s="809">
        <f t="shared" si="31"/>
        <v>3.5</v>
      </c>
      <c r="I118" s="817">
        <f t="shared" si="29"/>
        <v>-20340.378929218678</v>
      </c>
      <c r="J118" s="817">
        <f t="shared" si="32"/>
        <v>-2095889.249257655</v>
      </c>
      <c r="K118" s="809"/>
      <c r="L118" s="809"/>
      <c r="M118" s="809"/>
      <c r="N118" s="809"/>
      <c r="O118" s="809"/>
      <c r="P118" s="809"/>
      <c r="Q118" s="809"/>
      <c r="R118" s="809"/>
      <c r="S118" s="809"/>
      <c r="T118" s="809"/>
      <c r="U118" s="809"/>
      <c r="V118" s="809"/>
      <c r="W118" s="809"/>
      <c r="X118" s="809"/>
      <c r="Y118" s="809"/>
      <c r="Z118" s="809"/>
      <c r="AA118" s="809"/>
      <c r="AB118" s="809"/>
      <c r="AC118" s="810"/>
    </row>
    <row r="119" spans="1:29" ht="13.5">
      <c r="A119" s="808"/>
      <c r="B119" s="808"/>
      <c r="C119" s="808"/>
      <c r="D119" s="809" t="s">
        <v>209</v>
      </c>
      <c r="E119" s="809" t="str">
        <f>+E118</f>
        <v>Year 2</v>
      </c>
      <c r="F119" s="822">
        <f t="shared" si="30"/>
        <v>-2075548.8703284364</v>
      </c>
      <c r="G119" s="848">
        <f t="shared" si="30"/>
        <v>0.0028</v>
      </c>
      <c r="H119" s="809">
        <f t="shared" si="31"/>
        <v>2.5</v>
      </c>
      <c r="I119" s="817">
        <f t="shared" si="29"/>
        <v>-14528.842092299055</v>
      </c>
      <c r="J119" s="817">
        <f t="shared" si="32"/>
        <v>-2090077.7124207355</v>
      </c>
      <c r="K119" s="809"/>
      <c r="L119" s="809"/>
      <c r="M119" s="809"/>
      <c r="N119" s="809"/>
      <c r="O119" s="809"/>
      <c r="P119" s="809"/>
      <c r="Q119" s="809"/>
      <c r="R119" s="809"/>
      <c r="S119" s="809"/>
      <c r="T119" s="809"/>
      <c r="U119" s="809"/>
      <c r="V119" s="809"/>
      <c r="W119" s="809"/>
      <c r="X119" s="809"/>
      <c r="Y119" s="809"/>
      <c r="Z119" s="809"/>
      <c r="AA119" s="809"/>
      <c r="AB119" s="809"/>
      <c r="AC119" s="810"/>
    </row>
    <row r="120" spans="1:29" ht="13.5">
      <c r="A120" s="808"/>
      <c r="B120" s="808"/>
      <c r="C120" s="808"/>
      <c r="D120" s="809" t="s">
        <v>210</v>
      </c>
      <c r="E120" s="809" t="str">
        <f>+E119</f>
        <v>Year 2</v>
      </c>
      <c r="F120" s="822">
        <f t="shared" si="30"/>
        <v>-2075548.8703284364</v>
      </c>
      <c r="G120" s="848">
        <f t="shared" si="30"/>
        <v>0.0028</v>
      </c>
      <c r="H120" s="809">
        <f t="shared" si="31"/>
        <v>1.5</v>
      </c>
      <c r="I120" s="817">
        <f t="shared" si="29"/>
        <v>-8717.305255379431</v>
      </c>
      <c r="J120" s="817">
        <f t="shared" si="32"/>
        <v>-2084266.175583816</v>
      </c>
      <c r="K120" s="809"/>
      <c r="L120" s="809"/>
      <c r="M120" s="809"/>
      <c r="N120" s="809"/>
      <c r="O120" s="809"/>
      <c r="P120" s="809"/>
      <c r="Q120" s="809"/>
      <c r="R120" s="809"/>
      <c r="S120" s="809"/>
      <c r="T120" s="809"/>
      <c r="U120" s="809"/>
      <c r="V120" s="809"/>
      <c r="W120" s="809"/>
      <c r="X120" s="809"/>
      <c r="Y120" s="809"/>
      <c r="Z120" s="809"/>
      <c r="AA120" s="809"/>
      <c r="AB120" s="809"/>
      <c r="AC120" s="810"/>
    </row>
    <row r="121" spans="1:29" ht="13.5">
      <c r="A121" s="808"/>
      <c r="B121" s="808"/>
      <c r="C121" s="808"/>
      <c r="D121" s="809" t="s">
        <v>204</v>
      </c>
      <c r="E121" s="809" t="str">
        <f>+E120</f>
        <v>Year 2</v>
      </c>
      <c r="F121" s="822">
        <f t="shared" si="30"/>
        <v>-2075548.8703284364</v>
      </c>
      <c r="G121" s="848">
        <f t="shared" si="30"/>
        <v>0.0028</v>
      </c>
      <c r="H121" s="809">
        <f t="shared" si="31"/>
        <v>0.5</v>
      </c>
      <c r="I121" s="817">
        <f t="shared" si="29"/>
        <v>-2905.768418459811</v>
      </c>
      <c r="J121" s="817">
        <f t="shared" si="32"/>
        <v>-2078454.6387468963</v>
      </c>
      <c r="K121" s="809"/>
      <c r="L121" s="809"/>
      <c r="M121" s="809"/>
      <c r="N121" s="809"/>
      <c r="O121" s="809"/>
      <c r="P121" s="809"/>
      <c r="Q121" s="809"/>
      <c r="R121" s="809"/>
      <c r="S121" s="809"/>
      <c r="T121" s="809"/>
      <c r="U121" s="809"/>
      <c r="V121" s="809"/>
      <c r="W121" s="809"/>
      <c r="X121" s="809"/>
      <c r="Y121" s="809"/>
      <c r="Z121" s="809"/>
      <c r="AA121" s="809"/>
      <c r="AB121" s="809"/>
      <c r="AC121" s="810"/>
    </row>
    <row r="122" spans="1:29" ht="13.5">
      <c r="A122" s="808"/>
      <c r="B122" s="808"/>
      <c r="C122" s="808"/>
      <c r="D122" s="809" t="s">
        <v>476</v>
      </c>
      <c r="E122" s="809"/>
      <c r="F122" s="822">
        <f>SUM(F110:F121)</f>
        <v>-24906586.44394124</v>
      </c>
      <c r="G122" s="809"/>
      <c r="H122" s="809"/>
      <c r="I122" s="809"/>
      <c r="J122" s="817">
        <f>SUM(J110:J121)</f>
        <v>-25325017.09619945</v>
      </c>
      <c r="K122" s="809"/>
      <c r="L122" s="809"/>
      <c r="M122" s="809"/>
      <c r="N122" s="809"/>
      <c r="O122" s="809"/>
      <c r="P122" s="809"/>
      <c r="Q122" s="809"/>
      <c r="R122" s="809"/>
      <c r="S122" s="809"/>
      <c r="T122" s="809"/>
      <c r="U122" s="809"/>
      <c r="V122" s="809"/>
      <c r="W122" s="809"/>
      <c r="X122" s="809"/>
      <c r="Y122" s="809"/>
      <c r="Z122" s="809"/>
      <c r="AA122" s="809"/>
      <c r="AB122" s="809"/>
      <c r="AC122" s="810"/>
    </row>
    <row r="123" spans="1:29" ht="13.5">
      <c r="A123" s="808"/>
      <c r="B123" s="808"/>
      <c r="C123" s="808"/>
      <c r="D123" s="809"/>
      <c r="E123" s="809"/>
      <c r="F123" s="845" t="s">
        <v>222</v>
      </c>
      <c r="G123" s="808" t="s">
        <v>135</v>
      </c>
      <c r="H123" s="849" t="s">
        <v>147</v>
      </c>
      <c r="I123" s="808" t="s">
        <v>222</v>
      </c>
      <c r="J123" s="809"/>
      <c r="K123" s="809"/>
      <c r="L123" s="809"/>
      <c r="M123" s="809"/>
      <c r="N123" s="809"/>
      <c r="O123" s="809"/>
      <c r="P123" s="809"/>
      <c r="Q123" s="809"/>
      <c r="R123" s="809"/>
      <c r="S123" s="809"/>
      <c r="T123" s="809"/>
      <c r="U123" s="809"/>
      <c r="V123" s="809"/>
      <c r="W123" s="809"/>
      <c r="X123" s="809"/>
      <c r="Y123" s="809"/>
      <c r="Z123" s="809"/>
      <c r="AA123" s="809"/>
      <c r="AB123" s="809"/>
      <c r="AC123" s="810"/>
    </row>
    <row r="124" spans="1:29" ht="13.5">
      <c r="A124" s="808"/>
      <c r="B124" s="808"/>
      <c r="C124" s="808"/>
      <c r="D124" s="809" t="str">
        <f aca="true" t="shared" si="33" ref="D124:D135">+D110</f>
        <v>Jun</v>
      </c>
      <c r="E124" s="809" t="str">
        <f>+E121</f>
        <v>Year 2</v>
      </c>
      <c r="F124" s="822">
        <f>+J122</f>
        <v>-25325017.09619945</v>
      </c>
      <c r="G124" s="848">
        <f>+G121</f>
        <v>0.0028</v>
      </c>
      <c r="H124" s="817">
        <f>-PMT(G124,12,J122)</f>
        <v>-2149024.590697239</v>
      </c>
      <c r="I124" s="817">
        <f aca="true" t="shared" si="34" ref="I124:I135">+F124+F124*G124-H124</f>
        <v>-23246902.553371567</v>
      </c>
      <c r="J124" s="809"/>
      <c r="K124" s="809"/>
      <c r="L124" s="809"/>
      <c r="M124" s="809"/>
      <c r="N124" s="809"/>
      <c r="O124" s="809"/>
      <c r="P124" s="809"/>
      <c r="Q124" s="809"/>
      <c r="R124" s="809"/>
      <c r="S124" s="809"/>
      <c r="T124" s="809"/>
      <c r="U124" s="809"/>
      <c r="V124" s="809"/>
      <c r="W124" s="809"/>
      <c r="X124" s="809"/>
      <c r="Y124" s="809"/>
      <c r="Z124" s="809"/>
      <c r="AA124" s="809"/>
      <c r="AB124" s="809"/>
      <c r="AC124" s="810"/>
    </row>
    <row r="125" spans="1:29" ht="13.5">
      <c r="A125" s="808"/>
      <c r="B125" s="808"/>
      <c r="C125" s="808"/>
      <c r="D125" s="809" t="str">
        <f t="shared" si="33"/>
        <v>Jul</v>
      </c>
      <c r="E125" s="809" t="str">
        <f aca="true" t="shared" si="35" ref="E125:E130">+E124</f>
        <v>Year 2</v>
      </c>
      <c r="F125" s="822">
        <f aca="true" t="shared" si="36" ref="F125:F135">+I124</f>
        <v>-23246902.553371567</v>
      </c>
      <c r="G125" s="848">
        <f aca="true" t="shared" si="37" ref="G125:H135">+G124</f>
        <v>0.0028</v>
      </c>
      <c r="H125" s="822">
        <f t="shared" si="37"/>
        <v>-2149024.590697239</v>
      </c>
      <c r="I125" s="817">
        <f t="shared" si="34"/>
        <v>-21162969.289823767</v>
      </c>
      <c r="J125" s="809"/>
      <c r="K125" s="809"/>
      <c r="L125" s="809"/>
      <c r="M125" s="809"/>
      <c r="N125" s="809"/>
      <c r="O125" s="809"/>
      <c r="P125" s="809"/>
      <c r="Q125" s="809"/>
      <c r="R125" s="809"/>
      <c r="S125" s="809"/>
      <c r="T125" s="809"/>
      <c r="U125" s="809"/>
      <c r="V125" s="809"/>
      <c r="W125" s="809"/>
      <c r="X125" s="809"/>
      <c r="Y125" s="809"/>
      <c r="Z125" s="809"/>
      <c r="AA125" s="809"/>
      <c r="AB125" s="809"/>
      <c r="AC125" s="810"/>
    </row>
    <row r="126" spans="1:29" ht="13.5">
      <c r="A126" s="808"/>
      <c r="B126" s="808"/>
      <c r="C126" s="808"/>
      <c r="D126" s="809" t="str">
        <f t="shared" si="33"/>
        <v>Aug</v>
      </c>
      <c r="E126" s="809" t="str">
        <f t="shared" si="35"/>
        <v>Year 2</v>
      </c>
      <c r="F126" s="822">
        <f t="shared" si="36"/>
        <v>-21162969.289823767</v>
      </c>
      <c r="G126" s="848">
        <f t="shared" si="37"/>
        <v>0.0028</v>
      </c>
      <c r="H126" s="822">
        <f t="shared" si="37"/>
        <v>-2149024.590697239</v>
      </c>
      <c r="I126" s="817">
        <f t="shared" si="34"/>
        <v>-19073201.013138033</v>
      </c>
      <c r="J126" s="809"/>
      <c r="K126" s="809"/>
      <c r="L126" s="809"/>
      <c r="M126" s="809"/>
      <c r="N126" s="809"/>
      <c r="O126" s="809"/>
      <c r="P126" s="809"/>
      <c r="Q126" s="809"/>
      <c r="R126" s="809"/>
      <c r="S126" s="809"/>
      <c r="T126" s="809"/>
      <c r="U126" s="809"/>
      <c r="V126" s="809"/>
      <c r="W126" s="809"/>
      <c r="X126" s="809"/>
      <c r="Y126" s="809"/>
      <c r="Z126" s="809"/>
      <c r="AA126" s="809"/>
      <c r="AB126" s="809"/>
      <c r="AC126" s="810"/>
    </row>
    <row r="127" spans="1:29" ht="13.5">
      <c r="A127" s="808"/>
      <c r="B127" s="808"/>
      <c r="C127" s="808"/>
      <c r="D127" s="809" t="str">
        <f t="shared" si="33"/>
        <v>Sep</v>
      </c>
      <c r="E127" s="809" t="str">
        <f t="shared" si="35"/>
        <v>Year 2</v>
      </c>
      <c r="F127" s="822">
        <f t="shared" si="36"/>
        <v>-19073201.013138033</v>
      </c>
      <c r="G127" s="848">
        <f t="shared" si="37"/>
        <v>0.0028</v>
      </c>
      <c r="H127" s="822">
        <f t="shared" si="37"/>
        <v>-2149024.590697239</v>
      </c>
      <c r="I127" s="817">
        <f t="shared" si="34"/>
        <v>-16977581.38527758</v>
      </c>
      <c r="J127" s="809"/>
      <c r="K127" s="850"/>
      <c r="L127" s="809"/>
      <c r="M127" s="809"/>
      <c r="N127" s="809"/>
      <c r="O127" s="809"/>
      <c r="P127" s="809"/>
      <c r="Q127" s="809"/>
      <c r="R127" s="809"/>
      <c r="S127" s="809"/>
      <c r="T127" s="809"/>
      <c r="U127" s="809"/>
      <c r="V127" s="809"/>
      <c r="W127" s="809"/>
      <c r="X127" s="809"/>
      <c r="Y127" s="809"/>
      <c r="Z127" s="809"/>
      <c r="AA127" s="809"/>
      <c r="AB127" s="809"/>
      <c r="AC127" s="810"/>
    </row>
    <row r="128" spans="1:29" ht="13.5">
      <c r="A128" s="808"/>
      <c r="B128" s="808"/>
      <c r="C128" s="808"/>
      <c r="D128" s="809" t="str">
        <f t="shared" si="33"/>
        <v>Oct</v>
      </c>
      <c r="E128" s="809" t="str">
        <f t="shared" si="35"/>
        <v>Year 2</v>
      </c>
      <c r="F128" s="822">
        <f t="shared" si="36"/>
        <v>-16977581.38527758</v>
      </c>
      <c r="G128" s="848">
        <f t="shared" si="37"/>
        <v>0.0028</v>
      </c>
      <c r="H128" s="822">
        <f t="shared" si="37"/>
        <v>-2149024.590697239</v>
      </c>
      <c r="I128" s="817">
        <f t="shared" si="34"/>
        <v>-14876094.022459116</v>
      </c>
      <c r="J128" s="809"/>
      <c r="K128" s="848"/>
      <c r="L128" s="809"/>
      <c r="M128" s="809"/>
      <c r="N128" s="809"/>
      <c r="O128" s="809"/>
      <c r="P128" s="809"/>
      <c r="Q128" s="809"/>
      <c r="R128" s="809"/>
      <c r="S128" s="809"/>
      <c r="T128" s="809"/>
      <c r="U128" s="809"/>
      <c r="V128" s="809"/>
      <c r="W128" s="809"/>
      <c r="X128" s="809"/>
      <c r="Y128" s="809"/>
      <c r="Z128" s="809"/>
      <c r="AA128" s="809"/>
      <c r="AB128" s="809"/>
      <c r="AC128" s="810"/>
    </row>
    <row r="129" spans="1:29" ht="13.5">
      <c r="A129" s="808"/>
      <c r="B129" s="808"/>
      <c r="C129" s="808"/>
      <c r="D129" s="809" t="str">
        <f t="shared" si="33"/>
        <v>Nov</v>
      </c>
      <c r="E129" s="809" t="str">
        <f t="shared" si="35"/>
        <v>Year 2</v>
      </c>
      <c r="F129" s="822">
        <f t="shared" si="36"/>
        <v>-14876094.022459116</v>
      </c>
      <c r="G129" s="848">
        <f t="shared" si="37"/>
        <v>0.0028</v>
      </c>
      <c r="H129" s="822">
        <f t="shared" si="37"/>
        <v>-2149024.590697239</v>
      </c>
      <c r="I129" s="817">
        <f t="shared" si="34"/>
        <v>-12768722.495024763</v>
      </c>
      <c r="J129" s="809"/>
      <c r="K129" s="809"/>
      <c r="L129" s="809"/>
      <c r="M129" s="809"/>
      <c r="N129" s="809"/>
      <c r="O129" s="809"/>
      <c r="P129" s="809"/>
      <c r="Q129" s="809"/>
      <c r="R129" s="809"/>
      <c r="S129" s="809"/>
      <c r="T129" s="809"/>
      <c r="U129" s="809"/>
      <c r="V129" s="809"/>
      <c r="W129" s="809"/>
      <c r="X129" s="809"/>
      <c r="Y129" s="809"/>
      <c r="Z129" s="809"/>
      <c r="AA129" s="809"/>
      <c r="AB129" s="809"/>
      <c r="AC129" s="810"/>
    </row>
    <row r="130" spans="1:29" ht="13.5">
      <c r="A130" s="808"/>
      <c r="B130" s="808"/>
      <c r="C130" s="808"/>
      <c r="D130" s="809" t="str">
        <f t="shared" si="33"/>
        <v>Dec</v>
      </c>
      <c r="E130" s="809" t="str">
        <f t="shared" si="35"/>
        <v>Year 2</v>
      </c>
      <c r="F130" s="822">
        <f t="shared" si="36"/>
        <v>-12768722.495024763</v>
      </c>
      <c r="G130" s="848">
        <f t="shared" si="37"/>
        <v>0.0028</v>
      </c>
      <c r="H130" s="822">
        <f t="shared" si="37"/>
        <v>-2149024.590697239</v>
      </c>
      <c r="I130" s="817">
        <f t="shared" si="34"/>
        <v>-10655450.327313595</v>
      </c>
      <c r="J130" s="809"/>
      <c r="K130" s="809"/>
      <c r="L130" s="809"/>
      <c r="M130" s="809"/>
      <c r="N130" s="809"/>
      <c r="O130" s="809"/>
      <c r="P130" s="809"/>
      <c r="Q130" s="809"/>
      <c r="R130" s="809"/>
      <c r="S130" s="809"/>
      <c r="T130" s="809"/>
      <c r="U130" s="809"/>
      <c r="V130" s="809"/>
      <c r="W130" s="809"/>
      <c r="X130" s="809"/>
      <c r="Y130" s="809"/>
      <c r="Z130" s="809"/>
      <c r="AA130" s="809"/>
      <c r="AB130" s="809"/>
      <c r="AC130" s="810"/>
    </row>
    <row r="131" spans="1:29" ht="13.5">
      <c r="A131" s="808"/>
      <c r="B131" s="808"/>
      <c r="C131" s="808"/>
      <c r="D131" s="809" t="str">
        <f t="shared" si="33"/>
        <v>Jan</v>
      </c>
      <c r="E131" s="809" t="s">
        <v>193</v>
      </c>
      <c r="F131" s="822">
        <f t="shared" si="36"/>
        <v>-10655450.327313595</v>
      </c>
      <c r="G131" s="848">
        <f t="shared" si="37"/>
        <v>0.0028</v>
      </c>
      <c r="H131" s="822">
        <f t="shared" si="37"/>
        <v>-2149024.590697239</v>
      </c>
      <c r="I131" s="817">
        <f t="shared" si="34"/>
        <v>-8536260.997532833</v>
      </c>
      <c r="J131" s="809"/>
      <c r="K131" s="809"/>
      <c r="L131" s="809"/>
      <c r="M131" s="809"/>
      <c r="N131" s="809"/>
      <c r="O131" s="809"/>
      <c r="P131" s="809"/>
      <c r="Q131" s="809"/>
      <c r="R131" s="809"/>
      <c r="S131" s="809"/>
      <c r="T131" s="809"/>
      <c r="U131" s="809"/>
      <c r="V131" s="809"/>
      <c r="W131" s="809"/>
      <c r="X131" s="809"/>
      <c r="Y131" s="809"/>
      <c r="Z131" s="809"/>
      <c r="AA131" s="809"/>
      <c r="AB131" s="809"/>
      <c r="AC131" s="810"/>
    </row>
    <row r="132" spans="1:29" ht="13.5">
      <c r="A132" s="808"/>
      <c r="B132" s="808"/>
      <c r="C132" s="808"/>
      <c r="D132" s="809" t="str">
        <f t="shared" si="33"/>
        <v>Feb</v>
      </c>
      <c r="E132" s="809" t="str">
        <f>+E131</f>
        <v>Year 3</v>
      </c>
      <c r="F132" s="822">
        <f t="shared" si="36"/>
        <v>-8536260.997532833</v>
      </c>
      <c r="G132" s="848">
        <f t="shared" si="37"/>
        <v>0.0028</v>
      </c>
      <c r="H132" s="822">
        <f t="shared" si="37"/>
        <v>-2149024.590697239</v>
      </c>
      <c r="I132" s="817">
        <f t="shared" si="34"/>
        <v>-6411137.9376286855</v>
      </c>
      <c r="J132" s="809"/>
      <c r="K132" s="809"/>
      <c r="L132" s="809"/>
      <c r="M132" s="809"/>
      <c r="N132" s="809"/>
      <c r="O132" s="809"/>
      <c r="P132" s="809"/>
      <c r="Q132" s="809"/>
      <c r="R132" s="809"/>
      <c r="S132" s="809"/>
      <c r="T132" s="809"/>
      <c r="U132" s="809"/>
      <c r="V132" s="809"/>
      <c r="W132" s="809"/>
      <c r="X132" s="809"/>
      <c r="Y132" s="809"/>
      <c r="Z132" s="809"/>
      <c r="AA132" s="809"/>
      <c r="AB132" s="809"/>
      <c r="AC132" s="810"/>
    </row>
    <row r="133" spans="1:29" ht="13.5">
      <c r="A133" s="808"/>
      <c r="B133" s="808"/>
      <c r="C133" s="808"/>
      <c r="D133" s="809" t="str">
        <f t="shared" si="33"/>
        <v>Mar</v>
      </c>
      <c r="E133" s="809" t="str">
        <f>+E132</f>
        <v>Year 3</v>
      </c>
      <c r="F133" s="822">
        <f t="shared" si="36"/>
        <v>-6411137.9376286855</v>
      </c>
      <c r="G133" s="848">
        <f t="shared" si="37"/>
        <v>0.0028</v>
      </c>
      <c r="H133" s="822">
        <f t="shared" si="37"/>
        <v>-2149024.590697239</v>
      </c>
      <c r="I133" s="817">
        <f t="shared" si="34"/>
        <v>-4280064.533156807</v>
      </c>
      <c r="J133" s="809"/>
      <c r="K133" s="809"/>
      <c r="L133" s="809"/>
      <c r="M133" s="809"/>
      <c r="N133" s="809"/>
      <c r="O133" s="809"/>
      <c r="P133" s="809"/>
      <c r="Q133" s="809"/>
      <c r="R133" s="809"/>
      <c r="S133" s="809"/>
      <c r="T133" s="809"/>
      <c r="U133" s="809"/>
      <c r="V133" s="809"/>
      <c r="W133" s="809"/>
      <c r="X133" s="809"/>
      <c r="Y133" s="809"/>
      <c r="Z133" s="809"/>
      <c r="AA133" s="809"/>
      <c r="AB133" s="809"/>
      <c r="AC133" s="810"/>
    </row>
    <row r="134" spans="1:29" ht="13.5">
      <c r="A134" s="808"/>
      <c r="B134" s="808"/>
      <c r="C134" s="808"/>
      <c r="D134" s="809" t="str">
        <f t="shared" si="33"/>
        <v>Apr</v>
      </c>
      <c r="E134" s="809" t="str">
        <f>+E133</f>
        <v>Year 3</v>
      </c>
      <c r="F134" s="822">
        <f t="shared" si="36"/>
        <v>-4280064.533156807</v>
      </c>
      <c r="G134" s="848">
        <f t="shared" si="37"/>
        <v>0.0028</v>
      </c>
      <c r="H134" s="822">
        <f t="shared" si="37"/>
        <v>-2149024.590697239</v>
      </c>
      <c r="I134" s="817">
        <f t="shared" si="34"/>
        <v>-2143024.123152407</v>
      </c>
      <c r="J134" s="809"/>
      <c r="K134" s="809"/>
      <c r="L134" s="809"/>
      <c r="M134" s="809"/>
      <c r="N134" s="809"/>
      <c r="O134" s="809"/>
      <c r="P134" s="809"/>
      <c r="Q134" s="809"/>
      <c r="R134" s="809"/>
      <c r="S134" s="809"/>
      <c r="T134" s="809"/>
      <c r="U134" s="809"/>
      <c r="V134" s="809"/>
      <c r="W134" s="809"/>
      <c r="X134" s="809"/>
      <c r="Y134" s="809"/>
      <c r="Z134" s="809"/>
      <c r="AA134" s="809"/>
      <c r="AB134" s="809"/>
      <c r="AC134" s="810"/>
    </row>
    <row r="135" spans="1:29" ht="13.5">
      <c r="A135" s="808"/>
      <c r="B135" s="808"/>
      <c r="C135" s="808"/>
      <c r="D135" s="809" t="str">
        <f t="shared" si="33"/>
        <v>May</v>
      </c>
      <c r="E135" s="809" t="str">
        <f>+E134</f>
        <v>Year 3</v>
      </c>
      <c r="F135" s="822">
        <f t="shared" si="36"/>
        <v>-2143024.123152407</v>
      </c>
      <c r="G135" s="848">
        <f t="shared" si="37"/>
        <v>0.0028</v>
      </c>
      <c r="H135" s="822">
        <f t="shared" si="37"/>
        <v>-2149024.590697239</v>
      </c>
      <c r="I135" s="817">
        <f t="shared" si="34"/>
        <v>5.587935447692871E-09</v>
      </c>
      <c r="J135" s="809"/>
      <c r="K135" s="809"/>
      <c r="L135" s="809"/>
      <c r="M135" s="809"/>
      <c r="N135" s="809"/>
      <c r="O135" s="809"/>
      <c r="P135" s="809"/>
      <c r="Q135" s="809"/>
      <c r="R135" s="809"/>
      <c r="S135" s="809"/>
      <c r="T135" s="809"/>
      <c r="U135" s="809"/>
      <c r="V135" s="809"/>
      <c r="W135" s="809"/>
      <c r="X135" s="809"/>
      <c r="Y135" s="809"/>
      <c r="Z135" s="809"/>
      <c r="AA135" s="809"/>
      <c r="AB135" s="809"/>
      <c r="AC135" s="810"/>
    </row>
    <row r="136" spans="1:29" ht="13.5">
      <c r="A136" s="808"/>
      <c r="B136" s="808"/>
      <c r="C136" s="808"/>
      <c r="D136" s="809" t="s">
        <v>258</v>
      </c>
      <c r="E136" s="809"/>
      <c r="F136" s="809"/>
      <c r="G136" s="809"/>
      <c r="H136" s="822">
        <f>SUM(H124:H135)</f>
        <v>-25788295.088366877</v>
      </c>
      <c r="I136" s="809"/>
      <c r="J136" s="809"/>
      <c r="K136" s="809"/>
      <c r="L136" s="809"/>
      <c r="M136" s="809"/>
      <c r="N136" s="809"/>
      <c r="O136" s="809"/>
      <c r="P136" s="809"/>
      <c r="Q136" s="809"/>
      <c r="R136" s="809"/>
      <c r="S136" s="809"/>
      <c r="T136" s="809"/>
      <c r="U136" s="809"/>
      <c r="V136" s="809"/>
      <c r="W136" s="809"/>
      <c r="X136" s="809"/>
      <c r="Y136" s="809"/>
      <c r="Z136" s="809"/>
      <c r="AA136" s="809"/>
      <c r="AB136" s="809"/>
      <c r="AC136" s="810"/>
    </row>
    <row r="137" spans="1:29" ht="13.5">
      <c r="A137" s="808"/>
      <c r="B137" s="808"/>
      <c r="C137" s="808"/>
      <c r="D137" s="809"/>
      <c r="E137" s="809"/>
      <c r="F137" s="809"/>
      <c r="G137" s="809"/>
      <c r="H137" s="809"/>
      <c r="I137" s="809"/>
      <c r="J137" s="809"/>
      <c r="K137" s="809"/>
      <c r="L137" s="809"/>
      <c r="M137" s="809"/>
      <c r="N137" s="809"/>
      <c r="O137" s="809"/>
      <c r="P137" s="809"/>
      <c r="Q137" s="809"/>
      <c r="R137" s="809"/>
      <c r="S137" s="809"/>
      <c r="T137" s="809"/>
      <c r="U137" s="809"/>
      <c r="V137" s="809"/>
      <c r="W137" s="809"/>
      <c r="X137" s="809"/>
      <c r="Y137" s="809"/>
      <c r="Z137" s="809"/>
      <c r="AA137" s="809"/>
      <c r="AB137" s="809"/>
      <c r="AC137" s="810"/>
    </row>
    <row r="138" spans="2:29" ht="13.5">
      <c r="B138" s="808"/>
      <c r="C138" s="808"/>
      <c r="D138" s="843" t="s">
        <v>148</v>
      </c>
      <c r="E138" s="808"/>
      <c r="G138" s="808"/>
      <c r="H138" s="822">
        <f>+H136</f>
        <v>-25788295.088366877</v>
      </c>
      <c r="I138" s="808"/>
      <c r="J138" s="822"/>
      <c r="K138" s="809"/>
      <c r="L138" s="809"/>
      <c r="M138" s="809"/>
      <c r="N138" s="809"/>
      <c r="O138" s="809"/>
      <c r="P138" s="809"/>
      <c r="Q138" s="809"/>
      <c r="R138" s="809"/>
      <c r="S138" s="809"/>
      <c r="T138" s="809"/>
      <c r="U138" s="809"/>
      <c r="V138" s="809"/>
      <c r="W138" s="809"/>
      <c r="X138" s="809"/>
      <c r="Y138" s="809"/>
      <c r="Z138" s="809"/>
      <c r="AA138" s="809"/>
      <c r="AB138" s="809"/>
      <c r="AC138" s="810"/>
    </row>
    <row r="139" spans="2:29" ht="13.5">
      <c r="B139" s="808"/>
      <c r="C139" s="808"/>
      <c r="D139" s="843" t="s">
        <v>569</v>
      </c>
      <c r="E139" s="808"/>
      <c r="G139" s="808"/>
      <c r="H139" s="851">
        <v>0</v>
      </c>
      <c r="I139" s="819"/>
      <c r="J139" s="841"/>
      <c r="K139" s="809"/>
      <c r="L139" s="809"/>
      <c r="M139" s="809"/>
      <c r="N139" s="809"/>
      <c r="O139" s="809"/>
      <c r="P139" s="809"/>
      <c r="Q139" s="809"/>
      <c r="R139" s="809"/>
      <c r="S139" s="809"/>
      <c r="T139" s="809"/>
      <c r="U139" s="809"/>
      <c r="V139" s="809"/>
      <c r="W139" s="809"/>
      <c r="X139" s="809"/>
      <c r="Y139" s="809"/>
      <c r="Z139" s="809"/>
      <c r="AA139" s="809"/>
      <c r="AB139" s="809"/>
      <c r="AC139" s="810"/>
    </row>
    <row r="140" spans="2:29" ht="13.5">
      <c r="B140" s="808"/>
      <c r="C140" s="808"/>
      <c r="D140" s="843" t="s">
        <v>192</v>
      </c>
      <c r="E140" s="808"/>
      <c r="G140" s="808"/>
      <c r="H140" s="822">
        <f>+H138+H139</f>
        <v>-25788295.088366877</v>
      </c>
      <c r="I140" s="846"/>
      <c r="J140" s="841"/>
      <c r="K140" s="809"/>
      <c r="L140" s="809"/>
      <c r="M140" s="809"/>
      <c r="N140" s="809"/>
      <c r="O140" s="809"/>
      <c r="P140" s="809"/>
      <c r="Q140" s="809"/>
      <c r="R140" s="809"/>
      <c r="S140" s="809"/>
      <c r="T140" s="809"/>
      <c r="U140" s="809"/>
      <c r="V140" s="809"/>
      <c r="W140" s="809"/>
      <c r="X140" s="809"/>
      <c r="Y140" s="809"/>
      <c r="Z140" s="809"/>
      <c r="AA140" s="809"/>
      <c r="AB140" s="809"/>
      <c r="AC140" s="810"/>
    </row>
    <row r="141" spans="1:29" ht="13.5">
      <c r="A141" s="808"/>
      <c r="B141" s="808"/>
      <c r="C141" s="808"/>
      <c r="D141" s="831"/>
      <c r="E141" s="809"/>
      <c r="F141" s="809"/>
      <c r="G141" s="836"/>
      <c r="H141" s="841"/>
      <c r="I141" s="836"/>
      <c r="J141" s="809"/>
      <c r="K141" s="809"/>
      <c r="L141" s="809"/>
      <c r="M141" s="809"/>
      <c r="N141" s="809"/>
      <c r="O141" s="809"/>
      <c r="P141" s="809"/>
      <c r="Q141" s="809"/>
      <c r="R141" s="809"/>
      <c r="S141" s="809"/>
      <c r="T141" s="809"/>
      <c r="U141" s="809"/>
      <c r="V141" s="809"/>
      <c r="W141" s="809"/>
      <c r="X141" s="809"/>
      <c r="Y141" s="809"/>
      <c r="Z141" s="809"/>
      <c r="AA141" s="809"/>
      <c r="AB141" s="809"/>
      <c r="AC141" s="810"/>
    </row>
    <row r="142" spans="1:29" ht="13.5">
      <c r="A142" s="808">
        <v>9</v>
      </c>
      <c r="B142" s="808" t="str">
        <f>+B18</f>
        <v>April</v>
      </c>
      <c r="C142" s="808" t="str">
        <f>+C18</f>
        <v>Year 3</v>
      </c>
      <c r="D142" s="813" t="str">
        <f>+D18</f>
        <v>TO estimates Cap Adds and CWIP during Year 3 weighted based on Months expected to be in service in Year 3 (e.g., 2009)</v>
      </c>
      <c r="E142" s="809"/>
      <c r="F142" s="809"/>
      <c r="G142" s="809"/>
      <c r="H142" s="809"/>
      <c r="I142" s="809"/>
      <c r="K142" s="809"/>
      <c r="L142" s="809"/>
      <c r="M142" s="809"/>
      <c r="N142" s="809"/>
      <c r="O142" s="809"/>
      <c r="P142" s="809"/>
      <c r="Q142" s="809"/>
      <c r="R142" s="809"/>
      <c r="S142" s="809"/>
      <c r="T142" s="809"/>
      <c r="U142" s="809"/>
      <c r="V142" s="809"/>
      <c r="W142" s="809"/>
      <c r="X142" s="809"/>
      <c r="Y142" s="809"/>
      <c r="Z142" s="809"/>
      <c r="AA142" s="809"/>
      <c r="AB142" s="809"/>
      <c r="AC142" s="810"/>
    </row>
    <row r="143" spans="1:29" ht="13.5">
      <c r="A143" s="808"/>
      <c r="B143" s="808"/>
      <c r="C143" s="808"/>
      <c r="D143" s="813"/>
      <c r="E143" s="809"/>
      <c r="F143" s="809"/>
      <c r="G143" s="809"/>
      <c r="H143" s="809"/>
      <c r="I143" s="809"/>
      <c r="K143" s="809"/>
      <c r="L143" s="809"/>
      <c r="M143" s="809"/>
      <c r="N143" s="809"/>
      <c r="O143" s="809"/>
      <c r="P143" s="809"/>
      <c r="Q143" s="809"/>
      <c r="R143" s="809"/>
      <c r="S143" s="809"/>
      <c r="T143" s="809"/>
      <c r="U143" s="809"/>
      <c r="V143" s="809"/>
      <c r="W143" s="809"/>
      <c r="X143" s="809"/>
      <c r="Y143" s="809"/>
      <c r="Z143" s="809"/>
      <c r="AA143" s="809"/>
      <c r="AB143" s="809"/>
      <c r="AC143" s="810"/>
    </row>
    <row r="144" spans="1:29" ht="13.5">
      <c r="A144" s="808"/>
      <c r="B144" s="808"/>
      <c r="C144" s="808"/>
      <c r="E144" s="820" t="s">
        <v>310</v>
      </c>
      <c r="F144" s="820" t="s">
        <v>757</v>
      </c>
      <c r="G144" s="820" t="s">
        <v>658</v>
      </c>
      <c r="H144" s="820" t="s">
        <v>116</v>
      </c>
      <c r="I144" s="820" t="s">
        <v>117</v>
      </c>
      <c r="J144" s="820" t="s">
        <v>118</v>
      </c>
      <c r="K144" s="820" t="s">
        <v>119</v>
      </c>
      <c r="L144" s="820" t="s">
        <v>120</v>
      </c>
      <c r="M144" s="808" t="s">
        <v>121</v>
      </c>
      <c r="N144" s="808" t="s">
        <v>122</v>
      </c>
      <c r="O144" s="808" t="s">
        <v>123</v>
      </c>
      <c r="P144" s="808" t="s">
        <v>124</v>
      </c>
      <c r="Q144" s="808" t="s">
        <v>125</v>
      </c>
      <c r="R144" s="806" t="s">
        <v>152</v>
      </c>
      <c r="S144" s="808" t="s">
        <v>2</v>
      </c>
      <c r="T144" s="808" t="s">
        <v>3</v>
      </c>
      <c r="U144" s="808" t="s">
        <v>4</v>
      </c>
      <c r="V144" s="808" t="s">
        <v>5</v>
      </c>
      <c r="W144" s="808" t="s">
        <v>546</v>
      </c>
      <c r="X144" s="809"/>
      <c r="Y144" s="809"/>
      <c r="Z144" s="809"/>
      <c r="AA144" s="809"/>
      <c r="AB144" s="809"/>
      <c r="AC144" s="810"/>
    </row>
    <row r="145" spans="1:29" ht="13.5">
      <c r="A145" s="808"/>
      <c r="B145" s="808"/>
      <c r="C145" s="808"/>
      <c r="E145" s="808" t="s">
        <v>126</v>
      </c>
      <c r="F145" s="808" t="str">
        <f>G145</f>
        <v>Monthly Additions</v>
      </c>
      <c r="G145" s="808" t="s">
        <v>126</v>
      </c>
      <c r="H145" s="808" t="s">
        <v>126</v>
      </c>
      <c r="I145" s="808" t="s">
        <v>126</v>
      </c>
      <c r="J145" s="808" t="s">
        <v>126</v>
      </c>
      <c r="L145" s="808" t="str">
        <f>+E146</f>
        <v>Other Plant In Service</v>
      </c>
      <c r="M145" s="808" t="s">
        <v>751</v>
      </c>
      <c r="N145" s="808" t="str">
        <f>+G146</f>
        <v>Susq-Rose CWIP</v>
      </c>
      <c r="O145" s="808" t="str">
        <f>+H146</f>
        <v>Susq-Rose PIS</v>
      </c>
      <c r="P145" s="808" t="str">
        <f>+I146</f>
        <v>Susq-Rose CWIP</v>
      </c>
      <c r="Q145" s="808" t="str">
        <f>+J146</f>
        <v>Susq-Rose PIS</v>
      </c>
      <c r="R145" s="808" t="str">
        <f>+E146</f>
        <v>Other Plant In Service</v>
      </c>
      <c r="S145" s="808" t="str">
        <f>M145</f>
        <v>NPR CWIP</v>
      </c>
      <c r="T145" s="808" t="str">
        <f>+G146</f>
        <v>Susq-Rose CWIP</v>
      </c>
      <c r="U145" s="808" t="str">
        <f>+H146</f>
        <v>Susq-Rose PIS</v>
      </c>
      <c r="V145" s="808" t="str">
        <f>+I146</f>
        <v>Susq-Rose CWIP</v>
      </c>
      <c r="W145" s="808" t="str">
        <f>+J146</f>
        <v>Susq-Rose PIS</v>
      </c>
      <c r="X145" s="808" t="s">
        <v>476</v>
      </c>
      <c r="Y145" s="809"/>
      <c r="Z145" s="809"/>
      <c r="AA145" s="809"/>
      <c r="AB145" s="809"/>
      <c r="AC145" s="810"/>
    </row>
    <row r="146" spans="1:29" ht="13.5">
      <c r="A146" s="808"/>
      <c r="B146" s="808"/>
      <c r="C146" s="808"/>
      <c r="D146" s="809"/>
      <c r="E146" s="808" t="s">
        <v>127</v>
      </c>
      <c r="F146" s="808" t="s">
        <v>749</v>
      </c>
      <c r="G146" s="808" t="s">
        <v>150</v>
      </c>
      <c r="H146" s="808" t="s">
        <v>151</v>
      </c>
      <c r="I146" s="808" t="s">
        <v>150</v>
      </c>
      <c r="J146" s="808" t="s">
        <v>151</v>
      </c>
      <c r="K146" s="808" t="s">
        <v>206</v>
      </c>
      <c r="L146" s="808" t="s">
        <v>758</v>
      </c>
      <c r="M146" s="808" t="s">
        <v>759</v>
      </c>
      <c r="N146" s="808" t="s">
        <v>760</v>
      </c>
      <c r="O146" s="808" t="s">
        <v>761</v>
      </c>
      <c r="P146" s="808" t="s">
        <v>762</v>
      </c>
      <c r="Q146" s="808" t="s">
        <v>763</v>
      </c>
      <c r="R146" s="808" t="s">
        <v>764</v>
      </c>
      <c r="S146" s="808" t="s">
        <v>128</v>
      </c>
      <c r="T146" s="808" t="s">
        <v>6</v>
      </c>
      <c r="U146" s="808" t="s">
        <v>7</v>
      </c>
      <c r="V146" s="808" t="s">
        <v>8</v>
      </c>
      <c r="W146" s="808" t="s">
        <v>9</v>
      </c>
      <c r="X146" s="809"/>
      <c r="Y146" s="809"/>
      <c r="Z146" s="809"/>
      <c r="AA146" s="809"/>
      <c r="AB146" s="809"/>
      <c r="AC146" s="810"/>
    </row>
    <row r="147" spans="1:29" ht="13.5">
      <c r="A147" s="808"/>
      <c r="B147" s="808"/>
      <c r="C147" s="808"/>
      <c r="D147" s="809"/>
      <c r="E147" s="808"/>
      <c r="F147" s="808" t="s">
        <v>750</v>
      </c>
      <c r="G147" s="808" t="s">
        <v>417</v>
      </c>
      <c r="H147" s="808" t="s">
        <v>417</v>
      </c>
      <c r="I147" s="808" t="s">
        <v>418</v>
      </c>
      <c r="J147" s="808" t="s">
        <v>418</v>
      </c>
      <c r="K147" s="808"/>
      <c r="L147" s="808"/>
      <c r="M147" s="808"/>
      <c r="N147" s="808" t="str">
        <f>G147</f>
        <v>&lt; 500kV (b0487.1)</v>
      </c>
      <c r="O147" s="808" t="str">
        <f>H147</f>
        <v>&lt; 500kV (b0487.1)</v>
      </c>
      <c r="P147" s="808" t="str">
        <f>I147</f>
        <v>&gt;= 500kV (b0487)</v>
      </c>
      <c r="Q147" s="808" t="str">
        <f>J147</f>
        <v>&gt;= 500kV (b0487)</v>
      </c>
      <c r="R147" s="808"/>
      <c r="S147" s="808"/>
      <c r="T147" s="808" t="str">
        <f>G147</f>
        <v>&lt; 500kV (b0487.1)</v>
      </c>
      <c r="U147" s="808" t="str">
        <f>H147</f>
        <v>&lt; 500kV (b0487.1)</v>
      </c>
      <c r="V147" s="808" t="str">
        <f>I147</f>
        <v>&gt;= 500kV (b0487)</v>
      </c>
      <c r="W147" s="808" t="str">
        <f>J147</f>
        <v>&gt;= 500kV (b0487)</v>
      </c>
      <c r="X147" s="809"/>
      <c r="Y147" s="809"/>
      <c r="Z147" s="809"/>
      <c r="AA147" s="809"/>
      <c r="AB147" s="809"/>
      <c r="AC147" s="810"/>
    </row>
    <row r="148" spans="1:29" ht="13.5">
      <c r="A148" s="808"/>
      <c r="B148" s="808"/>
      <c r="C148" s="808"/>
      <c r="D148" s="809" t="s">
        <v>568</v>
      </c>
      <c r="E148" s="808"/>
      <c r="F148" s="858">
        <v>44971138.42</v>
      </c>
      <c r="G148" s="858">
        <v>-274179</v>
      </c>
      <c r="H148" s="808"/>
      <c r="I148" s="858">
        <v>1417772</v>
      </c>
      <c r="J148" s="808"/>
      <c r="K148" s="808">
        <v>12</v>
      </c>
      <c r="L148" s="808"/>
      <c r="M148" s="845">
        <f>F148*K148</f>
        <v>539653661.04</v>
      </c>
      <c r="N148" s="845">
        <f>G148*K148</f>
        <v>-3290148</v>
      </c>
      <c r="O148" s="808"/>
      <c r="P148" s="845">
        <f>I148*K148</f>
        <v>17013264</v>
      </c>
      <c r="Q148" s="808"/>
      <c r="R148" s="822"/>
      <c r="S148" s="817">
        <f aca="true" t="shared" si="38" ref="S148:S160">+M148/12</f>
        <v>44971138.419999994</v>
      </c>
      <c r="T148" s="817">
        <f aca="true" t="shared" si="39" ref="T148:T160">+N148/12</f>
        <v>-274179</v>
      </c>
      <c r="U148" s="808"/>
      <c r="V148" s="817">
        <f aca="true" t="shared" si="40" ref="V148:V160">+P148/12</f>
        <v>1417772</v>
      </c>
      <c r="W148" s="808"/>
      <c r="X148" s="817"/>
      <c r="Y148" s="809"/>
      <c r="Z148" s="809"/>
      <c r="AA148" s="809"/>
      <c r="AB148" s="809"/>
      <c r="AC148" s="810"/>
    </row>
    <row r="149" spans="1:29" ht="13.5">
      <c r="A149" s="808"/>
      <c r="B149" s="808"/>
      <c r="C149" s="808"/>
      <c r="D149" s="809" t="s">
        <v>207</v>
      </c>
      <c r="E149" s="821">
        <v>3973996</v>
      </c>
      <c r="F149" s="927">
        <v>5141475</v>
      </c>
      <c r="G149" s="821">
        <v>0</v>
      </c>
      <c r="H149" s="821">
        <v>0</v>
      </c>
      <c r="I149" s="821">
        <v>0</v>
      </c>
      <c r="J149" s="821">
        <v>26359</v>
      </c>
      <c r="K149" s="808">
        <v>11.5</v>
      </c>
      <c r="L149" s="822">
        <f aca="true" t="shared" si="41" ref="L149:L160">+K149*E149</f>
        <v>45700954</v>
      </c>
      <c r="M149" s="822">
        <f aca="true" t="shared" si="42" ref="M149:M160">+K149*F149</f>
        <v>59126962.5</v>
      </c>
      <c r="N149" s="822">
        <f aca="true" t="shared" si="43" ref="N149:N160">+K149*G149</f>
        <v>0</v>
      </c>
      <c r="O149" s="822">
        <f aca="true" t="shared" si="44" ref="O149:O160">+K149*H149</f>
        <v>0</v>
      </c>
      <c r="P149" s="822">
        <f aca="true" t="shared" si="45" ref="P149:P160">+K149*I149</f>
        <v>0</v>
      </c>
      <c r="Q149" s="822">
        <f aca="true" t="shared" si="46" ref="Q149:Q160">+K149*J149</f>
        <v>303128.5</v>
      </c>
      <c r="R149" s="822">
        <f aca="true" t="shared" si="47" ref="R149:R160">L149/12</f>
        <v>3808412.8333333335</v>
      </c>
      <c r="S149" s="817">
        <f t="shared" si="38"/>
        <v>4927246.875</v>
      </c>
      <c r="T149" s="817">
        <f t="shared" si="39"/>
        <v>0</v>
      </c>
      <c r="U149" s="817">
        <f aca="true" t="shared" si="48" ref="U149:U160">+O149/12</f>
        <v>0</v>
      </c>
      <c r="V149" s="817">
        <f t="shared" si="40"/>
        <v>0</v>
      </c>
      <c r="W149" s="817">
        <f aca="true" t="shared" si="49" ref="W149:W160">+Q149/12</f>
        <v>25260.708333333332</v>
      </c>
      <c r="X149" s="817"/>
      <c r="Y149" s="809"/>
      <c r="Z149" s="809"/>
      <c r="AA149" s="809"/>
      <c r="AB149" s="809"/>
      <c r="AC149" s="810"/>
    </row>
    <row r="150" spans="1:29" ht="13.5">
      <c r="A150" s="808"/>
      <c r="B150" s="808"/>
      <c r="C150" s="808"/>
      <c r="D150" s="809" t="s">
        <v>208</v>
      </c>
      <c r="E150" s="821">
        <v>13439157</v>
      </c>
      <c r="F150" s="927">
        <v>2387945</v>
      </c>
      <c r="G150" s="821">
        <v>0</v>
      </c>
      <c r="H150" s="821">
        <v>0</v>
      </c>
      <c r="I150" s="821">
        <v>0</v>
      </c>
      <c r="J150" s="821">
        <v>28553</v>
      </c>
      <c r="K150" s="808">
        <f aca="true" t="shared" si="50" ref="K150:K160">+K149-1</f>
        <v>10.5</v>
      </c>
      <c r="L150" s="822">
        <f t="shared" si="41"/>
        <v>141111148.5</v>
      </c>
      <c r="M150" s="822">
        <f t="shared" si="42"/>
        <v>25073422.5</v>
      </c>
      <c r="N150" s="822">
        <f t="shared" si="43"/>
        <v>0</v>
      </c>
      <c r="O150" s="822">
        <f t="shared" si="44"/>
        <v>0</v>
      </c>
      <c r="P150" s="822">
        <f t="shared" si="45"/>
        <v>0</v>
      </c>
      <c r="Q150" s="822">
        <f t="shared" si="46"/>
        <v>299806.5</v>
      </c>
      <c r="R150" s="822">
        <f t="shared" si="47"/>
        <v>11759262.375</v>
      </c>
      <c r="S150" s="817">
        <f t="shared" si="38"/>
        <v>2089451.875</v>
      </c>
      <c r="T150" s="817">
        <f t="shared" si="39"/>
        <v>0</v>
      </c>
      <c r="U150" s="817">
        <f t="shared" si="48"/>
        <v>0</v>
      </c>
      <c r="V150" s="817">
        <f t="shared" si="40"/>
        <v>0</v>
      </c>
      <c r="W150" s="817">
        <f t="shared" si="49"/>
        <v>24983.875</v>
      </c>
      <c r="X150" s="817"/>
      <c r="Y150" s="809"/>
      <c r="Z150" s="809"/>
      <c r="AA150" s="809"/>
      <c r="AB150" s="809"/>
      <c r="AC150" s="810"/>
    </row>
    <row r="151" spans="1:29" ht="13.5">
      <c r="A151" s="808"/>
      <c r="B151" s="808"/>
      <c r="C151" s="808"/>
      <c r="D151" s="809" t="s">
        <v>209</v>
      </c>
      <c r="E151" s="821">
        <v>25788566.360000003</v>
      </c>
      <c r="F151" s="927">
        <v>163800</v>
      </c>
      <c r="G151" s="821">
        <v>0</v>
      </c>
      <c r="H151" s="821">
        <v>0</v>
      </c>
      <c r="I151" s="821">
        <v>0</v>
      </c>
      <c r="J151" s="821">
        <v>26585</v>
      </c>
      <c r="K151" s="808">
        <f t="shared" si="50"/>
        <v>9.5</v>
      </c>
      <c r="L151" s="822">
        <f t="shared" si="41"/>
        <v>244991380.42000002</v>
      </c>
      <c r="M151" s="822">
        <f t="shared" si="42"/>
        <v>1556100</v>
      </c>
      <c r="N151" s="822">
        <f t="shared" si="43"/>
        <v>0</v>
      </c>
      <c r="O151" s="822">
        <f t="shared" si="44"/>
        <v>0</v>
      </c>
      <c r="P151" s="822">
        <f t="shared" si="45"/>
        <v>0</v>
      </c>
      <c r="Q151" s="822">
        <f t="shared" si="46"/>
        <v>252557.5</v>
      </c>
      <c r="R151" s="822">
        <f t="shared" si="47"/>
        <v>20415948.368333336</v>
      </c>
      <c r="S151" s="817">
        <f t="shared" si="38"/>
        <v>129675</v>
      </c>
      <c r="T151" s="817">
        <f t="shared" si="39"/>
        <v>0</v>
      </c>
      <c r="U151" s="817">
        <f t="shared" si="48"/>
        <v>0</v>
      </c>
      <c r="V151" s="817">
        <f t="shared" si="40"/>
        <v>0</v>
      </c>
      <c r="W151" s="817">
        <f t="shared" si="49"/>
        <v>21046.458333333332</v>
      </c>
      <c r="X151" s="817"/>
      <c r="Y151" s="809"/>
      <c r="Z151" s="809"/>
      <c r="AA151" s="809"/>
      <c r="AB151" s="809"/>
      <c r="AC151" s="810"/>
    </row>
    <row r="152" spans="1:29" ht="13.5">
      <c r="A152" s="808"/>
      <c r="B152" s="808"/>
      <c r="C152" s="808"/>
      <c r="D152" s="809" t="s">
        <v>210</v>
      </c>
      <c r="E152" s="821">
        <v>42423410</v>
      </c>
      <c r="F152" s="927">
        <v>1721100</v>
      </c>
      <c r="G152" s="821">
        <v>0</v>
      </c>
      <c r="H152" s="821">
        <v>0</v>
      </c>
      <c r="I152" s="821">
        <v>0</v>
      </c>
      <c r="J152" s="821">
        <v>25882</v>
      </c>
      <c r="K152" s="808">
        <f t="shared" si="50"/>
        <v>8.5</v>
      </c>
      <c r="L152" s="822">
        <f t="shared" si="41"/>
        <v>360598985</v>
      </c>
      <c r="M152" s="822">
        <f t="shared" si="42"/>
        <v>14629350</v>
      </c>
      <c r="N152" s="822">
        <f t="shared" si="43"/>
        <v>0</v>
      </c>
      <c r="O152" s="822">
        <f t="shared" si="44"/>
        <v>0</v>
      </c>
      <c r="P152" s="822">
        <f t="shared" si="45"/>
        <v>0</v>
      </c>
      <c r="Q152" s="822">
        <f t="shared" si="46"/>
        <v>219997</v>
      </c>
      <c r="R152" s="822">
        <f t="shared" si="47"/>
        <v>30049915.416666668</v>
      </c>
      <c r="S152" s="817">
        <f t="shared" si="38"/>
        <v>1219112.5</v>
      </c>
      <c r="T152" s="817">
        <f t="shared" si="39"/>
        <v>0</v>
      </c>
      <c r="U152" s="817">
        <f t="shared" si="48"/>
        <v>0</v>
      </c>
      <c r="V152" s="817">
        <f t="shared" si="40"/>
        <v>0</v>
      </c>
      <c r="W152" s="817">
        <f t="shared" si="49"/>
        <v>18333.083333333332</v>
      </c>
      <c r="X152" s="817"/>
      <c r="Y152" s="809"/>
      <c r="Z152" s="809"/>
      <c r="AA152" s="809"/>
      <c r="AB152" s="809"/>
      <c r="AC152" s="810"/>
    </row>
    <row r="153" spans="1:29" ht="13.5">
      <c r="A153" s="808"/>
      <c r="B153" s="808"/>
      <c r="C153" s="808"/>
      <c r="D153" s="809" t="s">
        <v>204</v>
      </c>
      <c r="E153" s="821">
        <v>56172583</v>
      </c>
      <c r="F153" s="927">
        <v>-54385458</v>
      </c>
      <c r="G153" s="821">
        <v>0</v>
      </c>
      <c r="H153" s="821">
        <v>0</v>
      </c>
      <c r="I153" s="821">
        <v>0</v>
      </c>
      <c r="J153" s="821">
        <v>26259</v>
      </c>
      <c r="K153" s="808">
        <f t="shared" si="50"/>
        <v>7.5</v>
      </c>
      <c r="L153" s="822">
        <f t="shared" si="41"/>
        <v>421294372.5</v>
      </c>
      <c r="M153" s="822">
        <f t="shared" si="42"/>
        <v>-407890935</v>
      </c>
      <c r="N153" s="822">
        <f t="shared" si="43"/>
        <v>0</v>
      </c>
      <c r="O153" s="822">
        <f t="shared" si="44"/>
        <v>0</v>
      </c>
      <c r="P153" s="822">
        <f t="shared" si="45"/>
        <v>0</v>
      </c>
      <c r="Q153" s="822">
        <f t="shared" si="46"/>
        <v>196942.5</v>
      </c>
      <c r="R153" s="822">
        <f t="shared" si="47"/>
        <v>35107864.375</v>
      </c>
      <c r="S153" s="817">
        <f t="shared" si="38"/>
        <v>-33990911.25</v>
      </c>
      <c r="T153" s="817">
        <f t="shared" si="39"/>
        <v>0</v>
      </c>
      <c r="U153" s="817">
        <f t="shared" si="48"/>
        <v>0</v>
      </c>
      <c r="V153" s="817">
        <f t="shared" si="40"/>
        <v>0</v>
      </c>
      <c r="W153" s="817">
        <f t="shared" si="49"/>
        <v>16411.875</v>
      </c>
      <c r="X153" s="817"/>
      <c r="Y153" s="809"/>
      <c r="Z153" s="809"/>
      <c r="AA153" s="809"/>
      <c r="AB153" s="809"/>
      <c r="AC153" s="810"/>
    </row>
    <row r="154" spans="1:29" ht="13.5">
      <c r="A154" s="808"/>
      <c r="B154" s="808"/>
      <c r="C154" s="808"/>
      <c r="D154" s="809" t="s">
        <v>211</v>
      </c>
      <c r="E154" s="821">
        <v>41692637</v>
      </c>
      <c r="F154" s="927">
        <v>0</v>
      </c>
      <c r="G154" s="821">
        <v>0</v>
      </c>
      <c r="H154" s="821">
        <v>0</v>
      </c>
      <c r="I154" s="821">
        <v>0</v>
      </c>
      <c r="J154" s="821">
        <v>54165</v>
      </c>
      <c r="K154" s="808">
        <f t="shared" si="50"/>
        <v>6.5</v>
      </c>
      <c r="L154" s="822">
        <f t="shared" si="41"/>
        <v>271002140.5</v>
      </c>
      <c r="M154" s="822">
        <f t="shared" si="42"/>
        <v>0</v>
      </c>
      <c r="N154" s="822">
        <f t="shared" si="43"/>
        <v>0</v>
      </c>
      <c r="O154" s="822">
        <f t="shared" si="44"/>
        <v>0</v>
      </c>
      <c r="P154" s="822">
        <f t="shared" si="45"/>
        <v>0</v>
      </c>
      <c r="Q154" s="822">
        <f t="shared" si="46"/>
        <v>352072.5</v>
      </c>
      <c r="R154" s="822">
        <f t="shared" si="47"/>
        <v>22583511.708333332</v>
      </c>
      <c r="S154" s="817">
        <f t="shared" si="38"/>
        <v>0</v>
      </c>
      <c r="T154" s="817">
        <f t="shared" si="39"/>
        <v>0</v>
      </c>
      <c r="U154" s="817">
        <f t="shared" si="48"/>
        <v>0</v>
      </c>
      <c r="V154" s="817">
        <f t="shared" si="40"/>
        <v>0</v>
      </c>
      <c r="W154" s="817">
        <f t="shared" si="49"/>
        <v>29339.375</v>
      </c>
      <c r="X154" s="817"/>
      <c r="Y154" s="809"/>
      <c r="Z154" s="809"/>
      <c r="AA154" s="809"/>
      <c r="AB154" s="809"/>
      <c r="AC154" s="810"/>
    </row>
    <row r="155" spans="1:29" ht="13.5">
      <c r="A155" s="808"/>
      <c r="B155" s="808"/>
      <c r="C155" s="808"/>
      <c r="D155" s="809" t="s">
        <v>212</v>
      </c>
      <c r="E155" s="821">
        <v>19774919</v>
      </c>
      <c r="F155" s="927">
        <v>0</v>
      </c>
      <c r="G155" s="821">
        <v>0</v>
      </c>
      <c r="H155" s="821">
        <v>0</v>
      </c>
      <c r="I155" s="821">
        <v>0</v>
      </c>
      <c r="J155" s="821">
        <v>48948</v>
      </c>
      <c r="K155" s="808">
        <f t="shared" si="50"/>
        <v>5.5</v>
      </c>
      <c r="L155" s="822">
        <f t="shared" si="41"/>
        <v>108762054.5</v>
      </c>
      <c r="M155" s="822">
        <f t="shared" si="42"/>
        <v>0</v>
      </c>
      <c r="N155" s="822">
        <f t="shared" si="43"/>
        <v>0</v>
      </c>
      <c r="O155" s="822">
        <f t="shared" si="44"/>
        <v>0</v>
      </c>
      <c r="P155" s="822">
        <f t="shared" si="45"/>
        <v>0</v>
      </c>
      <c r="Q155" s="822">
        <f t="shared" si="46"/>
        <v>269214</v>
      </c>
      <c r="R155" s="822">
        <f t="shared" si="47"/>
        <v>9063504.541666666</v>
      </c>
      <c r="S155" s="817">
        <f t="shared" si="38"/>
        <v>0</v>
      </c>
      <c r="T155" s="817">
        <f t="shared" si="39"/>
        <v>0</v>
      </c>
      <c r="U155" s="817">
        <f t="shared" si="48"/>
        <v>0</v>
      </c>
      <c r="V155" s="817">
        <f t="shared" si="40"/>
        <v>0</v>
      </c>
      <c r="W155" s="817">
        <f t="shared" si="49"/>
        <v>22434.5</v>
      </c>
      <c r="X155" s="817"/>
      <c r="Y155" s="809"/>
      <c r="Z155" s="809"/>
      <c r="AA155" s="809"/>
      <c r="AB155" s="809"/>
      <c r="AC155" s="810"/>
    </row>
    <row r="156" spans="1:29" ht="13.5">
      <c r="A156" s="808"/>
      <c r="B156" s="808"/>
      <c r="C156" s="808"/>
      <c r="D156" s="809" t="s">
        <v>213</v>
      </c>
      <c r="E156" s="821">
        <v>57920013</v>
      </c>
      <c r="F156" s="927">
        <v>0</v>
      </c>
      <c r="G156" s="821">
        <v>0</v>
      </c>
      <c r="H156" s="821">
        <v>0</v>
      </c>
      <c r="I156" s="821">
        <v>0</v>
      </c>
      <c r="J156" s="821">
        <v>26688</v>
      </c>
      <c r="K156" s="808">
        <f t="shared" si="50"/>
        <v>4.5</v>
      </c>
      <c r="L156" s="822">
        <f t="shared" si="41"/>
        <v>260640058.5</v>
      </c>
      <c r="M156" s="822">
        <f t="shared" si="42"/>
        <v>0</v>
      </c>
      <c r="N156" s="822">
        <f t="shared" si="43"/>
        <v>0</v>
      </c>
      <c r="O156" s="822">
        <f t="shared" si="44"/>
        <v>0</v>
      </c>
      <c r="P156" s="822">
        <f t="shared" si="45"/>
        <v>0</v>
      </c>
      <c r="Q156" s="822">
        <f t="shared" si="46"/>
        <v>120096</v>
      </c>
      <c r="R156" s="822">
        <f t="shared" si="47"/>
        <v>21720004.875</v>
      </c>
      <c r="S156" s="817">
        <f t="shared" si="38"/>
        <v>0</v>
      </c>
      <c r="T156" s="817">
        <f t="shared" si="39"/>
        <v>0</v>
      </c>
      <c r="U156" s="817">
        <f t="shared" si="48"/>
        <v>0</v>
      </c>
      <c r="V156" s="817">
        <f t="shared" si="40"/>
        <v>0</v>
      </c>
      <c r="W156" s="817">
        <f t="shared" si="49"/>
        <v>10008</v>
      </c>
      <c r="X156" s="817"/>
      <c r="Y156" s="809"/>
      <c r="Z156" s="809"/>
      <c r="AA156" s="809"/>
      <c r="AB156" s="809"/>
      <c r="AC156" s="810"/>
    </row>
    <row r="157" spans="1:29" ht="13.5">
      <c r="A157" s="808"/>
      <c r="B157" s="808"/>
      <c r="C157" s="808"/>
      <c r="D157" s="809" t="s">
        <v>214</v>
      </c>
      <c r="E157" s="821">
        <v>26146008</v>
      </c>
      <c r="F157" s="927">
        <v>0</v>
      </c>
      <c r="G157" s="821">
        <v>0</v>
      </c>
      <c r="H157" s="821">
        <v>0</v>
      </c>
      <c r="I157" s="821">
        <v>0</v>
      </c>
      <c r="J157" s="821">
        <v>27478</v>
      </c>
      <c r="K157" s="808">
        <f t="shared" si="50"/>
        <v>3.5</v>
      </c>
      <c r="L157" s="822">
        <f t="shared" si="41"/>
        <v>91511028</v>
      </c>
      <c r="M157" s="822">
        <f t="shared" si="42"/>
        <v>0</v>
      </c>
      <c r="N157" s="822">
        <f t="shared" si="43"/>
        <v>0</v>
      </c>
      <c r="O157" s="822">
        <f t="shared" si="44"/>
        <v>0</v>
      </c>
      <c r="P157" s="822">
        <f t="shared" si="45"/>
        <v>0</v>
      </c>
      <c r="Q157" s="822">
        <f t="shared" si="46"/>
        <v>96173</v>
      </c>
      <c r="R157" s="822">
        <f t="shared" si="47"/>
        <v>7625919</v>
      </c>
      <c r="S157" s="817">
        <f t="shared" si="38"/>
        <v>0</v>
      </c>
      <c r="T157" s="817">
        <f t="shared" si="39"/>
        <v>0</v>
      </c>
      <c r="U157" s="817">
        <f t="shared" si="48"/>
        <v>0</v>
      </c>
      <c r="V157" s="817">
        <f t="shared" si="40"/>
        <v>0</v>
      </c>
      <c r="W157" s="817">
        <f t="shared" si="49"/>
        <v>8014.416666666667</v>
      </c>
      <c r="X157" s="817"/>
      <c r="Y157" s="809"/>
      <c r="Z157" s="809"/>
      <c r="AA157" s="809"/>
      <c r="AB157" s="809"/>
      <c r="AC157" s="810"/>
    </row>
    <row r="158" spans="1:29" ht="13.5">
      <c r="A158" s="808"/>
      <c r="B158" s="808"/>
      <c r="C158" s="808"/>
      <c r="D158" s="809" t="s">
        <v>215</v>
      </c>
      <c r="E158" s="821">
        <v>51244448</v>
      </c>
      <c r="F158" s="927">
        <v>0</v>
      </c>
      <c r="G158" s="821">
        <v>0</v>
      </c>
      <c r="H158" s="821">
        <v>0</v>
      </c>
      <c r="I158" s="821">
        <v>0</v>
      </c>
      <c r="J158" s="821">
        <v>25235</v>
      </c>
      <c r="K158" s="808">
        <f t="shared" si="50"/>
        <v>2.5</v>
      </c>
      <c r="L158" s="822">
        <f t="shared" si="41"/>
        <v>128111120</v>
      </c>
      <c r="M158" s="822">
        <f t="shared" si="42"/>
        <v>0</v>
      </c>
      <c r="N158" s="822">
        <f t="shared" si="43"/>
        <v>0</v>
      </c>
      <c r="O158" s="822">
        <f t="shared" si="44"/>
        <v>0</v>
      </c>
      <c r="P158" s="822">
        <f t="shared" si="45"/>
        <v>0</v>
      </c>
      <c r="Q158" s="822">
        <f t="shared" si="46"/>
        <v>63087.5</v>
      </c>
      <c r="R158" s="822">
        <f t="shared" si="47"/>
        <v>10675926.666666666</v>
      </c>
      <c r="S158" s="817">
        <f t="shared" si="38"/>
        <v>0</v>
      </c>
      <c r="T158" s="817">
        <f t="shared" si="39"/>
        <v>0</v>
      </c>
      <c r="U158" s="817">
        <f t="shared" si="48"/>
        <v>0</v>
      </c>
      <c r="V158" s="817">
        <f t="shared" si="40"/>
        <v>0</v>
      </c>
      <c r="W158" s="817">
        <f t="shared" si="49"/>
        <v>5257.291666666667</v>
      </c>
      <c r="X158" s="817"/>
      <c r="Y158" s="809"/>
      <c r="Z158" s="809"/>
      <c r="AA158" s="809"/>
      <c r="AB158" s="809"/>
      <c r="AC158" s="810"/>
    </row>
    <row r="159" spans="1:29" ht="13.5">
      <c r="A159" s="808"/>
      <c r="B159" s="808"/>
      <c r="C159" s="808"/>
      <c r="D159" s="809" t="s">
        <v>216</v>
      </c>
      <c r="E159" s="821">
        <v>55302227</v>
      </c>
      <c r="F159" s="927">
        <v>0</v>
      </c>
      <c r="G159" s="821">
        <v>0</v>
      </c>
      <c r="H159" s="821">
        <v>0</v>
      </c>
      <c r="I159" s="821">
        <v>0</v>
      </c>
      <c r="J159" s="821">
        <v>28071</v>
      </c>
      <c r="K159" s="808">
        <f t="shared" si="50"/>
        <v>1.5</v>
      </c>
      <c r="L159" s="822">
        <f t="shared" si="41"/>
        <v>82953340.5</v>
      </c>
      <c r="M159" s="822">
        <f t="shared" si="42"/>
        <v>0</v>
      </c>
      <c r="N159" s="822">
        <f t="shared" si="43"/>
        <v>0</v>
      </c>
      <c r="O159" s="822">
        <f t="shared" si="44"/>
        <v>0</v>
      </c>
      <c r="P159" s="822">
        <f t="shared" si="45"/>
        <v>0</v>
      </c>
      <c r="Q159" s="822">
        <f t="shared" si="46"/>
        <v>42106.5</v>
      </c>
      <c r="R159" s="822">
        <f t="shared" si="47"/>
        <v>6912778.375</v>
      </c>
      <c r="S159" s="817">
        <f t="shared" si="38"/>
        <v>0</v>
      </c>
      <c r="T159" s="817">
        <f t="shared" si="39"/>
        <v>0</v>
      </c>
      <c r="U159" s="817">
        <f t="shared" si="48"/>
        <v>0</v>
      </c>
      <c r="V159" s="817">
        <f t="shared" si="40"/>
        <v>0</v>
      </c>
      <c r="W159" s="817">
        <f t="shared" si="49"/>
        <v>3508.875</v>
      </c>
      <c r="X159" s="817"/>
      <c r="Y159" s="809"/>
      <c r="Z159" s="809"/>
      <c r="AA159" s="809"/>
      <c r="AB159" s="809"/>
      <c r="AC159" s="810"/>
    </row>
    <row r="160" spans="1:29" ht="13.5">
      <c r="A160" s="808"/>
      <c r="B160" s="808"/>
      <c r="C160" s="808"/>
      <c r="D160" s="809" t="s">
        <v>217</v>
      </c>
      <c r="E160" s="821">
        <v>101004573</v>
      </c>
      <c r="F160" s="927">
        <v>0</v>
      </c>
      <c r="G160" s="821">
        <v>0</v>
      </c>
      <c r="H160" s="821">
        <v>0</v>
      </c>
      <c r="I160" s="821">
        <v>0</v>
      </c>
      <c r="J160" s="821">
        <v>729305</v>
      </c>
      <c r="K160" s="808">
        <f t="shared" si="50"/>
        <v>0.5</v>
      </c>
      <c r="L160" s="822">
        <f t="shared" si="41"/>
        <v>50502286.5</v>
      </c>
      <c r="M160" s="822">
        <f t="shared" si="42"/>
        <v>0</v>
      </c>
      <c r="N160" s="822">
        <f t="shared" si="43"/>
        <v>0</v>
      </c>
      <c r="O160" s="822">
        <f t="shared" si="44"/>
        <v>0</v>
      </c>
      <c r="P160" s="822">
        <f t="shared" si="45"/>
        <v>0</v>
      </c>
      <c r="Q160" s="822">
        <f t="shared" si="46"/>
        <v>364652.5</v>
      </c>
      <c r="R160" s="822">
        <f t="shared" si="47"/>
        <v>4208523.875</v>
      </c>
      <c r="S160" s="817">
        <f t="shared" si="38"/>
        <v>0</v>
      </c>
      <c r="T160" s="817">
        <f t="shared" si="39"/>
        <v>0</v>
      </c>
      <c r="U160" s="817">
        <f t="shared" si="48"/>
        <v>0</v>
      </c>
      <c r="V160" s="817">
        <f t="shared" si="40"/>
        <v>0</v>
      </c>
      <c r="W160" s="817">
        <f t="shared" si="49"/>
        <v>30387.708333333332</v>
      </c>
      <c r="X160" s="817"/>
      <c r="Y160" s="809"/>
      <c r="Z160" s="809"/>
      <c r="AA160" s="809"/>
      <c r="AB160" s="809"/>
      <c r="AC160" s="810"/>
    </row>
    <row r="161" spans="1:29" ht="13.5">
      <c r="A161" s="808"/>
      <c r="B161" s="808"/>
      <c r="D161" s="809" t="s">
        <v>476</v>
      </c>
      <c r="E161" s="822">
        <f>SUM(E149:E160)</f>
        <v>494882537.36</v>
      </c>
      <c r="F161" s="822">
        <v>0</v>
      </c>
      <c r="G161" s="822">
        <f>SUM(G148:G160)</f>
        <v>-274179</v>
      </c>
      <c r="H161" s="822">
        <f>SUM(H149:H160)</f>
        <v>0</v>
      </c>
      <c r="I161" s="822">
        <f>SUM(I148:I160)</f>
        <v>1417772</v>
      </c>
      <c r="J161" s="822">
        <f>SUM(J149:J160)</f>
        <v>1073528</v>
      </c>
      <c r="K161" s="809"/>
      <c r="L161" s="822">
        <f>SUM(L149:L160)</f>
        <v>2207178868.92</v>
      </c>
      <c r="M161" s="822">
        <f>SUM(M148:M160)</f>
        <v>232148561.03999996</v>
      </c>
      <c r="N161" s="822">
        <f>SUM(N148:N160)</f>
        <v>-3290148</v>
      </c>
      <c r="O161" s="822">
        <f>SUM(O149:O160)</f>
        <v>0</v>
      </c>
      <c r="P161" s="822">
        <f>SUM(P148:P160)</f>
        <v>17013264</v>
      </c>
      <c r="Q161" s="822">
        <f>SUM(Q149:Q160)</f>
        <v>2579834</v>
      </c>
      <c r="R161" s="822">
        <f aca="true" t="shared" si="51" ref="R161:W161">SUM(R148:R160)</f>
        <v>183931572.41</v>
      </c>
      <c r="S161" s="822">
        <f>SUM(S148:S160)</f>
        <v>19345713.419999994</v>
      </c>
      <c r="T161" s="822">
        <f>SUM(T148:T160)</f>
        <v>-274179</v>
      </c>
      <c r="U161" s="822">
        <f t="shared" si="51"/>
        <v>0</v>
      </c>
      <c r="V161" s="822">
        <f t="shared" si="51"/>
        <v>1417772</v>
      </c>
      <c r="W161" s="822">
        <f t="shared" si="51"/>
        <v>214986.16666666666</v>
      </c>
      <c r="X161" s="817"/>
      <c r="Y161" s="809"/>
      <c r="Z161" s="809"/>
      <c r="AA161" s="809"/>
      <c r="AB161" s="809"/>
      <c r="AC161" s="810"/>
    </row>
    <row r="162" spans="1:27" ht="13.5">
      <c r="A162" s="808"/>
      <c r="B162" s="808"/>
      <c r="D162" s="809" t="s">
        <v>129</v>
      </c>
      <c r="E162" s="809"/>
      <c r="F162" s="809"/>
      <c r="G162" s="809"/>
      <c r="H162" s="809"/>
      <c r="I162" s="809"/>
      <c r="M162" s="823"/>
      <c r="N162" s="823"/>
      <c r="O162" s="823"/>
      <c r="P162" s="809"/>
      <c r="Q162" s="809"/>
      <c r="R162" s="809"/>
      <c r="S162" s="809"/>
      <c r="T162" s="809"/>
      <c r="U162" s="809"/>
      <c r="V162" s="809"/>
      <c r="W162" s="809"/>
      <c r="X162" s="809"/>
      <c r="Y162" s="809"/>
      <c r="Z162" s="809"/>
      <c r="AA162" s="810"/>
    </row>
    <row r="163" spans="1:27" ht="13.5">
      <c r="A163" s="808"/>
      <c r="B163" s="808"/>
      <c r="D163" s="809"/>
      <c r="E163" s="809"/>
      <c r="H163" s="809"/>
      <c r="I163" s="809"/>
      <c r="K163" s="823"/>
      <c r="L163" s="809"/>
      <c r="M163" s="822"/>
      <c r="N163" s="823" t="s">
        <v>155</v>
      </c>
      <c r="O163" s="809"/>
      <c r="P163" s="822"/>
      <c r="Q163" s="822"/>
      <c r="R163" s="822">
        <f>R161</f>
        <v>183931572.41</v>
      </c>
      <c r="S163" s="822"/>
      <c r="T163" s="822"/>
      <c r="U163" s="822">
        <f>U161</f>
        <v>0</v>
      </c>
      <c r="V163" s="822"/>
      <c r="W163" s="822">
        <f>W161</f>
        <v>214986.16666666666</v>
      </c>
      <c r="X163" s="822">
        <f>SUM(R163:W163)</f>
        <v>184146558.57666665</v>
      </c>
      <c r="Y163" s="809"/>
      <c r="Z163" s="809"/>
      <c r="AA163" s="810"/>
    </row>
    <row r="164" spans="1:27" ht="13.5">
      <c r="A164" s="808"/>
      <c r="B164" s="808"/>
      <c r="C164" s="808"/>
      <c r="D164" s="809"/>
      <c r="E164" s="809"/>
      <c r="F164" s="809"/>
      <c r="G164" s="809"/>
      <c r="H164" s="822"/>
      <c r="I164" s="809"/>
      <c r="K164" s="809"/>
      <c r="L164" s="809"/>
      <c r="M164" s="809"/>
      <c r="N164" s="809" t="s">
        <v>149</v>
      </c>
      <c r="O164" s="809"/>
      <c r="P164" s="809"/>
      <c r="Q164" s="809"/>
      <c r="S164" s="822">
        <f>S161</f>
        <v>19345713.419999994</v>
      </c>
      <c r="T164" s="822">
        <f>T161</f>
        <v>-274179</v>
      </c>
      <c r="U164" s="809"/>
      <c r="V164" s="822">
        <f>V161</f>
        <v>1417772</v>
      </c>
      <c r="W164" s="809"/>
      <c r="X164" s="822">
        <f>SUM(R164:W164)</f>
        <v>20489306.419999994</v>
      </c>
      <c r="Y164" s="809"/>
      <c r="Z164" s="809"/>
      <c r="AA164" s="810"/>
    </row>
    <row r="165" spans="1:27" ht="13.5">
      <c r="A165" s="808">
        <f>+A20</f>
        <v>10</v>
      </c>
      <c r="B165" s="808" t="str">
        <f>+B20</f>
        <v>May</v>
      </c>
      <c r="C165" s="808" t="str">
        <f>+C20</f>
        <v>Year 3</v>
      </c>
      <c r="D165" s="813" t="str">
        <f>+D20</f>
        <v>Post results of Step 9 on PJM web site</v>
      </c>
      <c r="E165" s="809"/>
      <c r="F165" s="809"/>
      <c r="G165" s="809"/>
      <c r="H165" s="846"/>
      <c r="I165" s="836"/>
      <c r="J165" s="809"/>
      <c r="K165" s="809"/>
      <c r="L165" s="809"/>
      <c r="M165" s="809"/>
      <c r="N165" s="836" t="s">
        <v>130</v>
      </c>
      <c r="O165" s="836"/>
      <c r="P165" s="978"/>
      <c r="Q165" s="978"/>
      <c r="R165" s="978">
        <f>IF(ISERROR(12-R163/E161*12),0,12-R163/E161*12)</f>
        <v>7.539994438489556</v>
      </c>
      <c r="S165" s="978">
        <f>IF(ISERROR(12-S164/F161*12),0,12-S164/F161*12)</f>
        <v>0</v>
      </c>
      <c r="T165" s="978">
        <f>IF(ISERROR(12-T164/G161*12),0,12-T164/G161*12)</f>
        <v>0</v>
      </c>
      <c r="U165" s="978">
        <f>IF(ISERROR(12-U163/H161*12),0,12-U163/H161*12)</f>
        <v>0</v>
      </c>
      <c r="V165" s="978">
        <f>IF(ISERROR(12-V164/I161*12),0,12-V164/I161*12)</f>
        <v>0</v>
      </c>
      <c r="W165" s="978">
        <f>IF(ISERROR(12-W163/J161*12),0,12-W163/J161*12)</f>
        <v>9.596863798615406</v>
      </c>
      <c r="X165" s="809"/>
      <c r="Y165" s="809"/>
      <c r="Z165" s="809"/>
      <c r="AA165" s="810"/>
    </row>
    <row r="166" spans="1:29" ht="13.5">
      <c r="A166" s="808"/>
      <c r="B166" s="808"/>
      <c r="C166" s="808"/>
      <c r="D166" s="826">
        <f>'Appendix A'!H248</f>
        <v>327745913.8198813</v>
      </c>
      <c r="E166" s="809" t="str">
        <f>+D54</f>
        <v>Post results of Step 3 on PJM web site</v>
      </c>
      <c r="F166" s="809"/>
      <c r="G166" s="809"/>
      <c r="H166" s="809"/>
      <c r="I166" s="836"/>
      <c r="J166" s="836"/>
      <c r="K166" s="809"/>
      <c r="L166" s="809"/>
      <c r="M166" s="809"/>
      <c r="N166" s="809"/>
      <c r="O166" s="809"/>
      <c r="P166" s="809"/>
      <c r="Q166" s="809"/>
      <c r="R166" s="809"/>
      <c r="S166" s="809"/>
      <c r="T166" s="809"/>
      <c r="U166" s="809"/>
      <c r="V166" s="809"/>
      <c r="W166" s="809"/>
      <c r="X166" s="809"/>
      <c r="Y166" s="809"/>
      <c r="Z166" s="809"/>
      <c r="AA166" s="809"/>
      <c r="AB166" s="809"/>
      <c r="AC166" s="810"/>
    </row>
    <row r="167" spans="1:29" ht="13.5">
      <c r="A167" s="808"/>
      <c r="B167" s="808"/>
      <c r="C167" s="808"/>
      <c r="D167" s="832"/>
      <c r="E167" s="825"/>
      <c r="F167" s="809"/>
      <c r="G167" s="809"/>
      <c r="H167" s="809"/>
      <c r="I167" s="836"/>
      <c r="J167" s="836"/>
      <c r="K167" s="809"/>
      <c r="L167" s="809"/>
      <c r="M167" s="809"/>
      <c r="N167" s="809"/>
      <c r="O167" s="809"/>
      <c r="P167" s="809"/>
      <c r="Q167" s="809"/>
      <c r="R167" s="809"/>
      <c r="S167" s="809"/>
      <c r="T167" s="809"/>
      <c r="U167" s="809"/>
      <c r="V167" s="809"/>
      <c r="W167" s="809"/>
      <c r="X167" s="809"/>
      <c r="Y167" s="809"/>
      <c r="Z167" s="809"/>
      <c r="AA167" s="809"/>
      <c r="AB167" s="809"/>
      <c r="AC167" s="810"/>
    </row>
    <row r="168" spans="1:29" ht="13.5">
      <c r="A168" s="808"/>
      <c r="B168" s="808"/>
      <c r="C168" s="808"/>
      <c r="D168" s="826"/>
      <c r="E168" s="809"/>
      <c r="F168" s="809"/>
      <c r="G168" s="809"/>
      <c r="H168" s="809"/>
      <c r="I168" s="836"/>
      <c r="J168" s="836"/>
      <c r="K168" s="809"/>
      <c r="L168" s="809"/>
      <c r="M168" s="809"/>
      <c r="N168" s="809"/>
      <c r="O168" s="809"/>
      <c r="P168" s="809"/>
      <c r="Q168" s="809"/>
      <c r="R168" s="809"/>
      <c r="S168" s="809"/>
      <c r="T168" s="809"/>
      <c r="U168" s="809"/>
      <c r="V168" s="809"/>
      <c r="W168" s="809"/>
      <c r="X168" s="809"/>
      <c r="Y168" s="809"/>
      <c r="Z168" s="809"/>
      <c r="AA168" s="809"/>
      <c r="AB168" s="809"/>
      <c r="AC168" s="810"/>
    </row>
    <row r="169" spans="1:29" ht="13.5">
      <c r="A169" s="808">
        <f>+A21</f>
        <v>11</v>
      </c>
      <c r="B169" s="808" t="str">
        <f>+B21</f>
        <v>June</v>
      </c>
      <c r="C169" s="808" t="str">
        <f>+C21</f>
        <v>Year 3</v>
      </c>
      <c r="D169" s="852" t="str">
        <f>+D21</f>
        <v>Results of Step 9 go into effect for the Rate Year 2 (e.g., June 1, 2009 - May 31, 2010)</v>
      </c>
      <c r="E169" s="809"/>
      <c r="F169" s="809"/>
      <c r="G169" s="809"/>
      <c r="H169" s="809"/>
      <c r="I169" s="809"/>
      <c r="J169" s="809"/>
      <c r="K169" s="809"/>
      <c r="L169" s="809"/>
      <c r="M169" s="809"/>
      <c r="N169" s="809"/>
      <c r="O169" s="809"/>
      <c r="P169" s="809"/>
      <c r="Q169" s="809"/>
      <c r="R169" s="809"/>
      <c r="S169" s="809"/>
      <c r="T169" s="809"/>
      <c r="U169" s="809"/>
      <c r="V169" s="809"/>
      <c r="W169" s="809"/>
      <c r="X169" s="809"/>
      <c r="Y169" s="809"/>
      <c r="Z169" s="809"/>
      <c r="AA169" s="809"/>
      <c r="AB169" s="809"/>
      <c r="AC169" s="810"/>
    </row>
    <row r="170" spans="1:29" ht="13.5">
      <c r="A170" s="808"/>
      <c r="B170" s="808"/>
      <c r="C170" s="808"/>
      <c r="D170" s="853">
        <f>+D166</f>
        <v>327745913.8198813</v>
      </c>
      <c r="E170" s="809"/>
      <c r="F170" s="809"/>
      <c r="G170" s="809"/>
      <c r="H170" s="809"/>
      <c r="I170" s="809"/>
      <c r="J170" s="809"/>
      <c r="K170" s="809"/>
      <c r="L170" s="809"/>
      <c r="M170" s="809"/>
      <c r="N170" s="809"/>
      <c r="O170" s="809"/>
      <c r="P170" s="809"/>
      <c r="Q170" s="809"/>
      <c r="R170" s="809"/>
      <c r="S170" s="809"/>
      <c r="T170" s="809"/>
      <c r="U170" s="809"/>
      <c r="V170" s="809"/>
      <c r="W170" s="809"/>
      <c r="X170" s="809"/>
      <c r="Y170" s="809"/>
      <c r="Z170" s="809"/>
      <c r="AA170" s="809"/>
      <c r="AB170" s="809"/>
      <c r="AC170" s="810"/>
    </row>
    <row r="171" spans="1:29" ht="13.5">
      <c r="A171" s="808"/>
      <c r="B171" s="808"/>
      <c r="C171" s="808"/>
      <c r="D171" s="809"/>
      <c r="E171" s="809"/>
      <c r="F171" s="809"/>
      <c r="G171" s="809"/>
      <c r="H171" s="809"/>
      <c r="I171" s="809"/>
      <c r="J171" s="809"/>
      <c r="K171" s="809"/>
      <c r="L171" s="809"/>
      <c r="M171" s="809"/>
      <c r="N171" s="809"/>
      <c r="O171" s="809"/>
      <c r="P171" s="809"/>
      <c r="Q171" s="809"/>
      <c r="R171" s="809"/>
      <c r="S171" s="809"/>
      <c r="T171" s="809"/>
      <c r="U171" s="809"/>
      <c r="V171" s="809"/>
      <c r="W171" s="809"/>
      <c r="X171" s="809"/>
      <c r="Y171" s="809"/>
      <c r="Z171" s="809"/>
      <c r="AA171" s="809"/>
      <c r="AB171" s="809"/>
      <c r="AC171" s="810"/>
    </row>
    <row r="172" spans="1:29" ht="13.5">
      <c r="A172" s="808"/>
      <c r="B172" s="809"/>
      <c r="C172" s="808"/>
      <c r="D172" s="825"/>
      <c r="E172" s="809"/>
      <c r="F172" s="809"/>
      <c r="G172" s="809"/>
      <c r="H172" s="809"/>
      <c r="I172" s="809"/>
      <c r="J172" s="809"/>
      <c r="K172" s="809"/>
      <c r="L172" s="809"/>
      <c r="M172" s="809"/>
      <c r="N172" s="809"/>
      <c r="O172" s="809"/>
      <c r="P172" s="809"/>
      <c r="Q172" s="809"/>
      <c r="R172" s="809"/>
      <c r="S172" s="809"/>
      <c r="T172" s="809"/>
      <c r="U172" s="809"/>
      <c r="V172" s="809"/>
      <c r="W172" s="809"/>
      <c r="X172" s="809"/>
      <c r="Y172" s="809"/>
      <c r="Z172" s="809"/>
      <c r="AA172" s="809"/>
      <c r="AB172" s="809"/>
      <c r="AC172" s="810"/>
    </row>
    <row r="173" spans="1:29" ht="13.5">
      <c r="A173" s="808"/>
      <c r="B173" s="808"/>
      <c r="C173" s="808"/>
      <c r="D173" s="809"/>
      <c r="E173" s="809"/>
      <c r="F173" s="809"/>
      <c r="G173" s="809"/>
      <c r="H173" s="809"/>
      <c r="I173" s="809"/>
      <c r="J173" s="809"/>
      <c r="K173" s="809"/>
      <c r="L173" s="809"/>
      <c r="M173" s="809"/>
      <c r="N173" s="809"/>
      <c r="O173" s="809"/>
      <c r="P173" s="809"/>
      <c r="Q173" s="809"/>
      <c r="R173" s="809"/>
      <c r="S173" s="809"/>
      <c r="T173" s="809"/>
      <c r="U173" s="809"/>
      <c r="V173" s="809"/>
      <c r="W173" s="809"/>
      <c r="X173" s="809"/>
      <c r="Y173" s="809"/>
      <c r="Z173" s="809"/>
      <c r="AA173" s="809"/>
      <c r="AB173" s="809"/>
      <c r="AC173" s="810"/>
    </row>
    <row r="174" spans="1:29" ht="13.5">
      <c r="A174" s="808"/>
      <c r="B174" s="808"/>
      <c r="C174" s="808"/>
      <c r="D174" s="809"/>
      <c r="E174" s="809"/>
      <c r="F174" s="809"/>
      <c r="G174" s="809"/>
      <c r="H174" s="809"/>
      <c r="I174" s="809"/>
      <c r="J174" s="809"/>
      <c r="K174" s="809"/>
      <c r="L174" s="809"/>
      <c r="M174" s="809"/>
      <c r="N174" s="809"/>
      <c r="O174" s="809"/>
      <c r="P174" s="809"/>
      <c r="Q174" s="809"/>
      <c r="R174" s="809"/>
      <c r="S174" s="809"/>
      <c r="T174" s="809"/>
      <c r="U174" s="809"/>
      <c r="V174" s="809"/>
      <c r="W174" s="809"/>
      <c r="X174" s="809"/>
      <c r="Y174" s="809"/>
      <c r="Z174" s="809"/>
      <c r="AA174" s="809"/>
      <c r="AB174" s="809"/>
      <c r="AC174" s="810"/>
    </row>
    <row r="175" spans="1:29" ht="13.5">
      <c r="A175" s="808"/>
      <c r="B175" s="808"/>
      <c r="C175" s="808"/>
      <c r="D175" s="809"/>
      <c r="E175" s="809"/>
      <c r="F175" s="809"/>
      <c r="G175" s="809"/>
      <c r="H175" s="809"/>
      <c r="I175" s="809"/>
      <c r="J175" s="809"/>
      <c r="K175" s="809"/>
      <c r="L175" s="809"/>
      <c r="M175" s="809"/>
      <c r="N175" s="809"/>
      <c r="O175" s="809"/>
      <c r="P175" s="809"/>
      <c r="Q175" s="809"/>
      <c r="R175" s="809"/>
      <c r="S175" s="809"/>
      <c r="T175" s="809"/>
      <c r="U175" s="809"/>
      <c r="V175" s="809"/>
      <c r="W175" s="809"/>
      <c r="X175" s="809"/>
      <c r="Y175" s="809"/>
      <c r="Z175" s="809"/>
      <c r="AA175" s="809"/>
      <c r="AB175" s="809"/>
      <c r="AC175" s="810"/>
    </row>
    <row r="176" spans="1:29" ht="13.5">
      <c r="A176" s="808"/>
      <c r="B176" s="808"/>
      <c r="C176" s="808"/>
      <c r="D176" s="809"/>
      <c r="E176" s="809"/>
      <c r="F176" s="809"/>
      <c r="G176" s="809"/>
      <c r="H176" s="809"/>
      <c r="I176" s="809"/>
      <c r="J176" s="809"/>
      <c r="K176" s="809"/>
      <c r="L176" s="809"/>
      <c r="M176" s="809"/>
      <c r="N176" s="809"/>
      <c r="O176" s="809"/>
      <c r="P176" s="809"/>
      <c r="Q176" s="809"/>
      <c r="R176" s="809"/>
      <c r="S176" s="809"/>
      <c r="T176" s="809"/>
      <c r="U176" s="809"/>
      <c r="V176" s="809"/>
      <c r="W176" s="809"/>
      <c r="X176" s="809"/>
      <c r="Y176" s="809"/>
      <c r="Z176" s="809"/>
      <c r="AA176" s="809"/>
      <c r="AB176" s="809"/>
      <c r="AC176" s="810"/>
    </row>
    <row r="177" spans="1:29" ht="13.5">
      <c r="A177" s="808"/>
      <c r="B177" s="808"/>
      <c r="C177" s="808"/>
      <c r="D177" s="809"/>
      <c r="E177" s="809"/>
      <c r="F177" s="809"/>
      <c r="G177" s="809"/>
      <c r="H177" s="809"/>
      <c r="I177" s="809"/>
      <c r="J177" s="809"/>
      <c r="K177" s="809"/>
      <c r="L177" s="809"/>
      <c r="M177" s="809"/>
      <c r="N177" s="809"/>
      <c r="O177" s="809"/>
      <c r="P177" s="809"/>
      <c r="Q177" s="809"/>
      <c r="R177" s="809"/>
      <c r="S177" s="809"/>
      <c r="T177" s="809"/>
      <c r="U177" s="809"/>
      <c r="V177" s="809"/>
      <c r="W177" s="809"/>
      <c r="X177" s="809"/>
      <c r="Y177" s="809"/>
      <c r="Z177" s="809"/>
      <c r="AA177" s="809"/>
      <c r="AB177" s="809"/>
      <c r="AC177" s="810"/>
    </row>
    <row r="178" spans="1:29" ht="13.5">
      <c r="A178" s="808"/>
      <c r="B178" s="808"/>
      <c r="C178" s="808"/>
      <c r="D178" s="809"/>
      <c r="E178" s="809"/>
      <c r="F178" s="809"/>
      <c r="G178" s="809"/>
      <c r="H178" s="809"/>
      <c r="I178" s="809"/>
      <c r="J178" s="809"/>
      <c r="K178" s="809"/>
      <c r="L178" s="809"/>
      <c r="M178" s="809"/>
      <c r="N178" s="809"/>
      <c r="O178" s="809"/>
      <c r="P178" s="809"/>
      <c r="Q178" s="809"/>
      <c r="R178" s="809"/>
      <c r="S178" s="809"/>
      <c r="T178" s="809"/>
      <c r="U178" s="809"/>
      <c r="V178" s="809"/>
      <c r="W178" s="809"/>
      <c r="X178" s="809"/>
      <c r="Y178" s="809"/>
      <c r="Z178" s="809"/>
      <c r="AA178" s="809"/>
      <c r="AB178" s="809"/>
      <c r="AC178" s="810"/>
    </row>
    <row r="179" spans="1:29" ht="13.5">
      <c r="A179" s="808"/>
      <c r="B179" s="808"/>
      <c r="C179" s="808"/>
      <c r="D179" s="809"/>
      <c r="E179" s="809"/>
      <c r="F179" s="809"/>
      <c r="G179" s="809"/>
      <c r="H179" s="809"/>
      <c r="I179" s="809"/>
      <c r="J179" s="809"/>
      <c r="K179" s="809"/>
      <c r="L179" s="809"/>
      <c r="M179" s="809"/>
      <c r="N179" s="809"/>
      <c r="O179" s="809"/>
      <c r="P179" s="809"/>
      <c r="Q179" s="809"/>
      <c r="R179" s="809"/>
      <c r="S179" s="809"/>
      <c r="T179" s="809"/>
      <c r="U179" s="809"/>
      <c r="V179" s="809"/>
      <c r="W179" s="809"/>
      <c r="X179" s="809"/>
      <c r="Y179" s="809"/>
      <c r="Z179" s="809"/>
      <c r="AA179" s="809"/>
      <c r="AB179" s="809"/>
      <c r="AC179" s="810"/>
    </row>
    <row r="180" spans="1:29" ht="13.5">
      <c r="A180" s="808"/>
      <c r="B180" s="808"/>
      <c r="C180" s="808"/>
      <c r="D180" s="809"/>
      <c r="E180" s="809"/>
      <c r="F180" s="809"/>
      <c r="G180" s="809"/>
      <c r="H180" s="809"/>
      <c r="I180" s="809"/>
      <c r="J180" s="809"/>
      <c r="K180" s="809"/>
      <c r="L180" s="809"/>
      <c r="M180" s="809"/>
      <c r="N180" s="809"/>
      <c r="O180" s="809"/>
      <c r="P180" s="809"/>
      <c r="Q180" s="809"/>
      <c r="R180" s="809"/>
      <c r="S180" s="809"/>
      <c r="T180" s="809"/>
      <c r="U180" s="809"/>
      <c r="V180" s="809"/>
      <c r="W180" s="809"/>
      <c r="X180" s="809"/>
      <c r="Y180" s="809"/>
      <c r="Z180" s="809"/>
      <c r="AA180" s="809"/>
      <c r="AB180" s="809"/>
      <c r="AC180" s="810"/>
    </row>
    <row r="181" spans="1:29" ht="13.5">
      <c r="A181" s="808"/>
      <c r="B181" s="808"/>
      <c r="C181" s="808"/>
      <c r="D181" s="809"/>
      <c r="E181" s="809"/>
      <c r="F181" s="809"/>
      <c r="G181" s="809"/>
      <c r="H181" s="809"/>
      <c r="I181" s="809"/>
      <c r="J181" s="809"/>
      <c r="K181" s="809"/>
      <c r="L181" s="809"/>
      <c r="M181" s="809"/>
      <c r="N181" s="809"/>
      <c r="O181" s="809"/>
      <c r="P181" s="809"/>
      <c r="Q181" s="809"/>
      <c r="R181" s="809"/>
      <c r="S181" s="809"/>
      <c r="T181" s="809"/>
      <c r="U181" s="809"/>
      <c r="V181" s="809"/>
      <c r="W181" s="809"/>
      <c r="X181" s="809"/>
      <c r="Y181" s="809"/>
      <c r="Z181" s="809"/>
      <c r="AA181" s="809"/>
      <c r="AB181" s="809"/>
      <c r="AC181" s="810"/>
    </row>
    <row r="182" spans="1:29" ht="13.5">
      <c r="A182" s="808"/>
      <c r="B182" s="808"/>
      <c r="C182" s="808"/>
      <c r="D182" s="809"/>
      <c r="E182" s="809"/>
      <c r="F182" s="809"/>
      <c r="G182" s="809"/>
      <c r="H182" s="809"/>
      <c r="I182" s="809"/>
      <c r="J182" s="809"/>
      <c r="K182" s="809"/>
      <c r="L182" s="809"/>
      <c r="M182" s="809"/>
      <c r="N182" s="809"/>
      <c r="O182" s="809"/>
      <c r="P182" s="809"/>
      <c r="Q182" s="809"/>
      <c r="R182" s="809"/>
      <c r="S182" s="809"/>
      <c r="T182" s="809"/>
      <c r="U182" s="809"/>
      <c r="V182" s="809"/>
      <c r="W182" s="809"/>
      <c r="X182" s="809"/>
      <c r="Y182" s="809"/>
      <c r="Z182" s="809"/>
      <c r="AA182" s="809"/>
      <c r="AB182" s="809"/>
      <c r="AC182" s="810"/>
    </row>
    <row r="183" spans="1:29" ht="13.5">
      <c r="A183" s="808"/>
      <c r="B183" s="808"/>
      <c r="C183" s="808"/>
      <c r="D183" s="809"/>
      <c r="E183" s="809"/>
      <c r="F183" s="809"/>
      <c r="G183" s="809"/>
      <c r="H183" s="809"/>
      <c r="I183" s="809"/>
      <c r="J183" s="809"/>
      <c r="K183" s="809"/>
      <c r="L183" s="809"/>
      <c r="M183" s="809"/>
      <c r="N183" s="809"/>
      <c r="O183" s="809"/>
      <c r="P183" s="809"/>
      <c r="Q183" s="809"/>
      <c r="R183" s="809"/>
      <c r="S183" s="809"/>
      <c r="T183" s="809"/>
      <c r="U183" s="809"/>
      <c r="V183" s="809"/>
      <c r="W183" s="809"/>
      <c r="X183" s="809"/>
      <c r="Y183" s="809"/>
      <c r="Z183" s="809"/>
      <c r="AA183" s="809"/>
      <c r="AB183" s="809"/>
      <c r="AC183" s="810"/>
    </row>
    <row r="184" spans="1:29" ht="13.5">
      <c r="A184" s="808"/>
      <c r="B184" s="808"/>
      <c r="C184" s="808"/>
      <c r="D184" s="809"/>
      <c r="E184" s="809"/>
      <c r="F184" s="809"/>
      <c r="G184" s="809"/>
      <c r="H184" s="809"/>
      <c r="I184" s="809"/>
      <c r="J184" s="809"/>
      <c r="K184" s="809"/>
      <c r="L184" s="809"/>
      <c r="M184" s="809"/>
      <c r="N184" s="809"/>
      <c r="O184" s="809"/>
      <c r="P184" s="809"/>
      <c r="Q184" s="809"/>
      <c r="R184" s="809"/>
      <c r="S184" s="809"/>
      <c r="T184" s="809"/>
      <c r="U184" s="809"/>
      <c r="V184" s="809"/>
      <c r="W184" s="809"/>
      <c r="X184" s="809"/>
      <c r="Y184" s="809"/>
      <c r="Z184" s="809"/>
      <c r="AA184" s="809"/>
      <c r="AB184" s="809"/>
      <c r="AC184" s="810"/>
    </row>
    <row r="185" spans="1:29" ht="13.5">
      <c r="A185" s="808"/>
      <c r="B185" s="808"/>
      <c r="C185" s="808"/>
      <c r="D185" s="809"/>
      <c r="E185" s="809"/>
      <c r="F185" s="809"/>
      <c r="G185" s="809"/>
      <c r="H185" s="809"/>
      <c r="I185" s="809"/>
      <c r="J185" s="809"/>
      <c r="K185" s="809"/>
      <c r="L185" s="809"/>
      <c r="M185" s="809"/>
      <c r="N185" s="809"/>
      <c r="O185" s="809"/>
      <c r="P185" s="809"/>
      <c r="Q185" s="809"/>
      <c r="R185" s="809"/>
      <c r="S185" s="809"/>
      <c r="T185" s="809"/>
      <c r="U185" s="809"/>
      <c r="V185" s="809"/>
      <c r="W185" s="809"/>
      <c r="X185" s="809"/>
      <c r="Y185" s="809"/>
      <c r="Z185" s="809"/>
      <c r="AA185" s="809"/>
      <c r="AB185" s="809"/>
      <c r="AC185" s="810"/>
    </row>
    <row r="186" spans="1:29" ht="13.5">
      <c r="A186" s="808"/>
      <c r="B186" s="808"/>
      <c r="C186" s="808"/>
      <c r="D186" s="809"/>
      <c r="E186" s="809"/>
      <c r="F186" s="809"/>
      <c r="G186" s="809"/>
      <c r="H186" s="809"/>
      <c r="I186" s="809"/>
      <c r="J186" s="809"/>
      <c r="K186" s="809"/>
      <c r="L186" s="809"/>
      <c r="M186" s="809"/>
      <c r="N186" s="809"/>
      <c r="O186" s="809"/>
      <c r="P186" s="809"/>
      <c r="Q186" s="809"/>
      <c r="R186" s="809"/>
      <c r="S186" s="809"/>
      <c r="T186" s="809"/>
      <c r="U186" s="809"/>
      <c r="V186" s="809"/>
      <c r="W186" s="809"/>
      <c r="X186" s="809"/>
      <c r="Y186" s="809"/>
      <c r="Z186" s="809"/>
      <c r="AA186" s="809"/>
      <c r="AB186" s="809"/>
      <c r="AC186" s="810"/>
    </row>
    <row r="187" spans="1:29" ht="13.5">
      <c r="A187" s="808"/>
      <c r="B187" s="808"/>
      <c r="C187" s="808"/>
      <c r="D187" s="809"/>
      <c r="E187" s="809"/>
      <c r="F187" s="809"/>
      <c r="G187" s="809"/>
      <c r="H187" s="809"/>
      <c r="I187" s="809"/>
      <c r="J187" s="809"/>
      <c r="K187" s="809"/>
      <c r="L187" s="809"/>
      <c r="M187" s="809"/>
      <c r="N187" s="809"/>
      <c r="O187" s="809"/>
      <c r="P187" s="809"/>
      <c r="Q187" s="809"/>
      <c r="R187" s="809"/>
      <c r="S187" s="809"/>
      <c r="T187" s="809"/>
      <c r="U187" s="809"/>
      <c r="V187" s="809"/>
      <c r="W187" s="809"/>
      <c r="X187" s="809"/>
      <c r="Y187" s="809"/>
      <c r="Z187" s="809"/>
      <c r="AA187" s="809"/>
      <c r="AB187" s="809"/>
      <c r="AC187" s="810"/>
    </row>
    <row r="188" spans="1:29" ht="15.75">
      <c r="A188" s="854"/>
      <c r="B188" s="808"/>
      <c r="C188" s="808"/>
      <c r="D188" s="809"/>
      <c r="E188" s="809"/>
      <c r="F188" s="809"/>
      <c r="G188" s="809"/>
      <c r="H188" s="809"/>
      <c r="I188" s="809"/>
      <c r="J188" s="809"/>
      <c r="K188" s="809"/>
      <c r="L188" s="809"/>
      <c r="M188" s="809"/>
      <c r="N188" s="809"/>
      <c r="O188" s="809"/>
      <c r="P188" s="809"/>
      <c r="Q188" s="809"/>
      <c r="R188" s="809"/>
      <c r="S188" s="809"/>
      <c r="T188" s="809"/>
      <c r="U188" s="809"/>
      <c r="V188" s="809"/>
      <c r="W188" s="809"/>
      <c r="X188" s="809"/>
      <c r="Y188" s="809"/>
      <c r="Z188" s="809"/>
      <c r="AA188" s="809"/>
      <c r="AB188" s="809"/>
      <c r="AC188" s="810"/>
    </row>
    <row r="189" spans="1:29" ht="15.75">
      <c r="A189" s="854"/>
      <c r="B189" s="808"/>
      <c r="C189" s="808"/>
      <c r="D189" s="809"/>
      <c r="E189" s="809"/>
      <c r="F189" s="809"/>
      <c r="G189" s="809"/>
      <c r="H189" s="809"/>
      <c r="I189" s="809"/>
      <c r="J189" s="809"/>
      <c r="K189" s="809"/>
      <c r="L189" s="809"/>
      <c r="M189" s="809"/>
      <c r="N189" s="809"/>
      <c r="O189" s="809"/>
      <c r="P189" s="809"/>
      <c r="Q189" s="809"/>
      <c r="R189" s="809"/>
      <c r="S189" s="809"/>
      <c r="T189" s="809"/>
      <c r="U189" s="809"/>
      <c r="V189" s="809"/>
      <c r="W189" s="809"/>
      <c r="X189" s="809"/>
      <c r="Y189" s="809"/>
      <c r="Z189" s="809"/>
      <c r="AA189" s="809"/>
      <c r="AB189" s="809"/>
      <c r="AC189" s="810"/>
    </row>
    <row r="190" spans="1:28" ht="15.75">
      <c r="A190" s="854"/>
      <c r="B190" s="854"/>
      <c r="C190" s="854"/>
      <c r="D190" s="855"/>
      <c r="E190" s="855"/>
      <c r="F190" s="855"/>
      <c r="G190" s="855"/>
      <c r="H190" s="855"/>
      <c r="I190" s="855"/>
      <c r="J190" s="855"/>
      <c r="K190" s="855"/>
      <c r="L190" s="855"/>
      <c r="M190" s="855"/>
      <c r="N190" s="855"/>
      <c r="O190" s="855"/>
      <c r="P190" s="855"/>
      <c r="Q190" s="855"/>
      <c r="R190" s="855"/>
      <c r="S190" s="855"/>
      <c r="T190" s="855"/>
      <c r="U190" s="855"/>
      <c r="V190" s="855"/>
      <c r="W190" s="855"/>
      <c r="X190" s="855"/>
      <c r="Y190" s="855"/>
      <c r="Z190" s="855"/>
      <c r="AA190" s="855"/>
      <c r="AB190" s="855"/>
    </row>
    <row r="191" spans="1:28" ht="15.75">
      <c r="A191" s="854"/>
      <c r="B191" s="854"/>
      <c r="C191" s="854"/>
      <c r="D191" s="855"/>
      <c r="E191" s="855"/>
      <c r="F191" s="855"/>
      <c r="G191" s="855"/>
      <c r="H191" s="855"/>
      <c r="I191" s="855"/>
      <c r="J191" s="855"/>
      <c r="K191" s="855"/>
      <c r="L191" s="855"/>
      <c r="M191" s="855"/>
      <c r="N191" s="855"/>
      <c r="O191" s="855"/>
      <c r="P191" s="855"/>
      <c r="Q191" s="855"/>
      <c r="R191" s="855"/>
      <c r="S191" s="855"/>
      <c r="T191" s="855"/>
      <c r="U191" s="855"/>
      <c r="V191" s="855"/>
      <c r="W191" s="855"/>
      <c r="X191" s="855"/>
      <c r="Y191" s="855"/>
      <c r="Z191" s="855"/>
      <c r="AA191" s="855"/>
      <c r="AB191" s="855"/>
    </row>
    <row r="192" spans="1:28" ht="15.75">
      <c r="A192" s="854"/>
      <c r="B192" s="854"/>
      <c r="C192" s="854"/>
      <c r="D192" s="855"/>
      <c r="E192" s="855"/>
      <c r="F192" s="855"/>
      <c r="G192" s="855"/>
      <c r="H192" s="855"/>
      <c r="I192" s="855"/>
      <c r="J192" s="855"/>
      <c r="K192" s="855"/>
      <c r="L192" s="855"/>
      <c r="M192" s="855"/>
      <c r="N192" s="855"/>
      <c r="O192" s="855"/>
      <c r="P192" s="855"/>
      <c r="Q192" s="855"/>
      <c r="R192" s="855"/>
      <c r="S192" s="855"/>
      <c r="T192" s="855"/>
      <c r="U192" s="855"/>
      <c r="V192" s="855"/>
      <c r="W192" s="855"/>
      <c r="X192" s="855"/>
      <c r="Y192" s="855"/>
      <c r="Z192" s="855"/>
      <c r="AA192" s="855"/>
      <c r="AB192" s="855"/>
    </row>
    <row r="193" spans="1:28" ht="15.75">
      <c r="A193" s="854"/>
      <c r="B193" s="854"/>
      <c r="C193" s="854"/>
      <c r="D193" s="855"/>
      <c r="E193" s="855"/>
      <c r="F193" s="855"/>
      <c r="G193" s="855"/>
      <c r="H193" s="855"/>
      <c r="I193" s="855"/>
      <c r="J193" s="855"/>
      <c r="K193" s="855"/>
      <c r="L193" s="855"/>
      <c r="M193" s="855"/>
      <c r="N193" s="855"/>
      <c r="O193" s="855"/>
      <c r="P193" s="855"/>
      <c r="Q193" s="855"/>
      <c r="R193" s="855"/>
      <c r="S193" s="855"/>
      <c r="T193" s="855"/>
      <c r="U193" s="855"/>
      <c r="V193" s="855"/>
      <c r="W193" s="855"/>
      <c r="X193" s="855"/>
      <c r="Y193" s="855"/>
      <c r="Z193" s="855"/>
      <c r="AA193" s="855"/>
      <c r="AB193" s="855"/>
    </row>
    <row r="194" spans="1:28" ht="15.75">
      <c r="A194" s="854"/>
      <c r="B194" s="854"/>
      <c r="C194" s="854"/>
      <c r="D194" s="855"/>
      <c r="E194" s="855"/>
      <c r="F194" s="855"/>
      <c r="G194" s="855"/>
      <c r="H194" s="855"/>
      <c r="I194" s="855"/>
      <c r="J194" s="855"/>
      <c r="K194" s="855"/>
      <c r="L194" s="855"/>
      <c r="M194" s="855"/>
      <c r="N194" s="855"/>
      <c r="O194" s="855"/>
      <c r="P194" s="855"/>
      <c r="Q194" s="855"/>
      <c r="R194" s="855"/>
      <c r="S194" s="855"/>
      <c r="T194" s="855"/>
      <c r="U194" s="855"/>
      <c r="V194" s="855"/>
      <c r="W194" s="855"/>
      <c r="X194" s="855"/>
      <c r="Y194" s="855"/>
      <c r="Z194" s="855"/>
      <c r="AA194" s="855"/>
      <c r="AB194" s="855"/>
    </row>
    <row r="195" spans="1:28" ht="15.75">
      <c r="A195" s="854"/>
      <c r="B195" s="854"/>
      <c r="C195" s="854"/>
      <c r="D195" s="855"/>
      <c r="E195" s="855"/>
      <c r="F195" s="855"/>
      <c r="G195" s="855"/>
      <c r="H195" s="855"/>
      <c r="I195" s="855"/>
      <c r="J195" s="855"/>
      <c r="K195" s="855"/>
      <c r="L195" s="855"/>
      <c r="M195" s="855"/>
      <c r="N195" s="855"/>
      <c r="O195" s="855"/>
      <c r="P195" s="855"/>
      <c r="Q195" s="855"/>
      <c r="R195" s="855"/>
      <c r="S195" s="855"/>
      <c r="T195" s="855"/>
      <c r="U195" s="855"/>
      <c r="V195" s="855"/>
      <c r="W195" s="855"/>
      <c r="X195" s="855"/>
      <c r="Y195" s="855"/>
      <c r="Z195" s="855"/>
      <c r="AA195" s="855"/>
      <c r="AB195" s="855"/>
    </row>
    <row r="196" spans="1:28" ht="15.75">
      <c r="A196" s="854"/>
      <c r="B196" s="854"/>
      <c r="C196" s="854"/>
      <c r="D196" s="855"/>
      <c r="E196" s="855"/>
      <c r="F196" s="855"/>
      <c r="G196" s="855"/>
      <c r="H196" s="855"/>
      <c r="I196" s="855"/>
      <c r="J196" s="855"/>
      <c r="K196" s="855"/>
      <c r="L196" s="855"/>
      <c r="M196" s="855"/>
      <c r="N196" s="855"/>
      <c r="O196" s="855"/>
      <c r="P196" s="855"/>
      <c r="Q196" s="855"/>
      <c r="R196" s="855"/>
      <c r="S196" s="855"/>
      <c r="T196" s="855"/>
      <c r="U196" s="855"/>
      <c r="V196" s="855"/>
      <c r="W196" s="855"/>
      <c r="X196" s="855"/>
      <c r="Y196" s="855"/>
      <c r="Z196" s="855"/>
      <c r="AA196" s="855"/>
      <c r="AB196" s="855"/>
    </row>
    <row r="197" spans="1:28" ht="15.75">
      <c r="A197" s="854"/>
      <c r="B197" s="854"/>
      <c r="C197" s="854"/>
      <c r="D197" s="855"/>
      <c r="E197" s="855"/>
      <c r="F197" s="855"/>
      <c r="G197" s="855"/>
      <c r="H197" s="855"/>
      <c r="I197" s="855"/>
      <c r="J197" s="855"/>
      <c r="K197" s="855"/>
      <c r="L197" s="855"/>
      <c r="M197" s="855"/>
      <c r="N197" s="855"/>
      <c r="O197" s="855"/>
      <c r="P197" s="855"/>
      <c r="Q197" s="855"/>
      <c r="R197" s="855"/>
      <c r="S197" s="855"/>
      <c r="T197" s="855"/>
      <c r="U197" s="855"/>
      <c r="V197" s="855"/>
      <c r="W197" s="855"/>
      <c r="X197" s="855"/>
      <c r="Y197" s="855"/>
      <c r="Z197" s="855"/>
      <c r="AA197" s="855"/>
      <c r="AB197" s="855"/>
    </row>
    <row r="198" spans="1:28" ht="15.75">
      <c r="A198" s="854"/>
      <c r="B198" s="854"/>
      <c r="C198" s="854"/>
      <c r="D198" s="855"/>
      <c r="E198" s="855"/>
      <c r="F198" s="855"/>
      <c r="G198" s="855"/>
      <c r="H198" s="855"/>
      <c r="I198" s="855"/>
      <c r="J198" s="855"/>
      <c r="K198" s="855"/>
      <c r="L198" s="855"/>
      <c r="M198" s="855"/>
      <c r="N198" s="855"/>
      <c r="O198" s="855"/>
      <c r="P198" s="855"/>
      <c r="Q198" s="855"/>
      <c r="R198" s="855"/>
      <c r="S198" s="855"/>
      <c r="T198" s="855"/>
      <c r="U198" s="855"/>
      <c r="V198" s="855"/>
      <c r="W198" s="855"/>
      <c r="X198" s="855"/>
      <c r="Y198" s="855"/>
      <c r="Z198" s="855"/>
      <c r="AA198" s="855"/>
      <c r="AB198" s="855"/>
    </row>
    <row r="199" spans="1:28" ht="15.75">
      <c r="A199" s="854"/>
      <c r="B199" s="854"/>
      <c r="C199" s="854"/>
      <c r="D199" s="855"/>
      <c r="E199" s="855"/>
      <c r="F199" s="855"/>
      <c r="G199" s="855"/>
      <c r="H199" s="855"/>
      <c r="I199" s="855"/>
      <c r="J199" s="855"/>
      <c r="K199" s="855"/>
      <c r="L199" s="855"/>
      <c r="M199" s="855"/>
      <c r="N199" s="855"/>
      <c r="O199" s="855"/>
      <c r="P199" s="855"/>
      <c r="Q199" s="855"/>
      <c r="R199" s="855"/>
      <c r="S199" s="855"/>
      <c r="T199" s="855"/>
      <c r="U199" s="855"/>
      <c r="V199" s="855"/>
      <c r="W199" s="855"/>
      <c r="X199" s="855"/>
      <c r="Y199" s="855"/>
      <c r="Z199" s="855"/>
      <c r="AA199" s="855"/>
      <c r="AB199" s="855"/>
    </row>
    <row r="200" spans="1:28" ht="15.75">
      <c r="A200" s="854"/>
      <c r="B200" s="854"/>
      <c r="C200" s="854"/>
      <c r="D200" s="855"/>
      <c r="E200" s="855"/>
      <c r="F200" s="855"/>
      <c r="G200" s="855"/>
      <c r="H200" s="855"/>
      <c r="I200" s="855"/>
      <c r="J200" s="855"/>
      <c r="K200" s="855"/>
      <c r="L200" s="855"/>
      <c r="M200" s="855"/>
      <c r="N200" s="855"/>
      <c r="O200" s="855"/>
      <c r="P200" s="855"/>
      <c r="Q200" s="855"/>
      <c r="R200" s="855"/>
      <c r="S200" s="855"/>
      <c r="T200" s="855"/>
      <c r="U200" s="855"/>
      <c r="V200" s="855"/>
      <c r="W200" s="855"/>
      <c r="X200" s="855"/>
      <c r="Y200" s="855"/>
      <c r="Z200" s="855"/>
      <c r="AA200" s="855"/>
      <c r="AB200" s="855"/>
    </row>
    <row r="201" spans="1:28" ht="15.75">
      <c r="A201" s="854"/>
      <c r="B201" s="854"/>
      <c r="C201" s="854"/>
      <c r="D201" s="855"/>
      <c r="E201" s="855"/>
      <c r="F201" s="855"/>
      <c r="G201" s="855"/>
      <c r="H201" s="855"/>
      <c r="I201" s="855"/>
      <c r="J201" s="855"/>
      <c r="K201" s="855"/>
      <c r="L201" s="855"/>
      <c r="M201" s="855"/>
      <c r="N201" s="855"/>
      <c r="O201" s="855"/>
      <c r="P201" s="855"/>
      <c r="Q201" s="855"/>
      <c r="R201" s="855"/>
      <c r="S201" s="855"/>
      <c r="T201" s="855"/>
      <c r="U201" s="855"/>
      <c r="V201" s="855"/>
      <c r="W201" s="855"/>
      <c r="X201" s="855"/>
      <c r="Y201" s="855"/>
      <c r="Z201" s="855"/>
      <c r="AA201" s="855"/>
      <c r="AB201" s="855"/>
    </row>
    <row r="202" spans="1:28" ht="15.75">
      <c r="A202" s="854"/>
      <c r="B202" s="854"/>
      <c r="C202" s="854"/>
      <c r="D202" s="855"/>
      <c r="E202" s="855"/>
      <c r="F202" s="855"/>
      <c r="G202" s="855"/>
      <c r="H202" s="855"/>
      <c r="I202" s="855"/>
      <c r="J202" s="855"/>
      <c r="K202" s="855"/>
      <c r="L202" s="855"/>
      <c r="M202" s="855"/>
      <c r="N202" s="855"/>
      <c r="O202" s="855"/>
      <c r="P202" s="855"/>
      <c r="Q202" s="855"/>
      <c r="R202" s="855"/>
      <c r="S202" s="855"/>
      <c r="T202" s="855"/>
      <c r="U202" s="855"/>
      <c r="V202" s="855"/>
      <c r="W202" s="855"/>
      <c r="X202" s="855"/>
      <c r="Y202" s="855"/>
      <c r="Z202" s="855"/>
      <c r="AA202" s="855"/>
      <c r="AB202" s="855"/>
    </row>
    <row r="203" spans="1:28" ht="15.75">
      <c r="A203" s="854"/>
      <c r="B203" s="854"/>
      <c r="C203" s="854"/>
      <c r="D203" s="855"/>
      <c r="E203" s="855"/>
      <c r="F203" s="855"/>
      <c r="G203" s="855"/>
      <c r="H203" s="855"/>
      <c r="I203" s="855"/>
      <c r="J203" s="855"/>
      <c r="K203" s="855"/>
      <c r="L203" s="855"/>
      <c r="M203" s="855"/>
      <c r="N203" s="855"/>
      <c r="O203" s="855"/>
      <c r="P203" s="855"/>
      <c r="Q203" s="855"/>
      <c r="R203" s="855"/>
      <c r="S203" s="855"/>
      <c r="T203" s="855"/>
      <c r="U203" s="855"/>
      <c r="V203" s="855"/>
      <c r="W203" s="855"/>
      <c r="X203" s="855"/>
      <c r="Y203" s="855"/>
      <c r="Z203" s="855"/>
      <c r="AA203" s="855"/>
      <c r="AB203" s="855"/>
    </row>
    <row r="204" spans="1:28" ht="15.75">
      <c r="A204" s="854"/>
      <c r="B204" s="854"/>
      <c r="C204" s="854"/>
      <c r="D204" s="855"/>
      <c r="E204" s="855"/>
      <c r="F204" s="855"/>
      <c r="G204" s="855"/>
      <c r="H204" s="855"/>
      <c r="I204" s="855"/>
      <c r="J204" s="855"/>
      <c r="K204" s="855"/>
      <c r="L204" s="855"/>
      <c r="M204" s="855"/>
      <c r="N204" s="855"/>
      <c r="O204" s="855"/>
      <c r="P204" s="855"/>
      <c r="Q204" s="855"/>
      <c r="R204" s="855"/>
      <c r="S204" s="855"/>
      <c r="T204" s="855"/>
      <c r="U204" s="855"/>
      <c r="V204" s="855"/>
      <c r="W204" s="855"/>
      <c r="X204" s="855"/>
      <c r="Y204" s="855"/>
      <c r="Z204" s="855"/>
      <c r="AA204" s="855"/>
      <c r="AB204" s="855"/>
    </row>
    <row r="205" spans="1:28" ht="15.75">
      <c r="A205" s="854"/>
      <c r="B205" s="854"/>
      <c r="C205" s="854"/>
      <c r="D205" s="855"/>
      <c r="E205" s="855"/>
      <c r="F205" s="855"/>
      <c r="G205" s="855"/>
      <c r="H205" s="855"/>
      <c r="I205" s="855"/>
      <c r="J205" s="855"/>
      <c r="K205" s="855"/>
      <c r="L205" s="855"/>
      <c r="M205" s="855"/>
      <c r="N205" s="855"/>
      <c r="O205" s="855"/>
      <c r="P205" s="855"/>
      <c r="Q205" s="855"/>
      <c r="R205" s="855"/>
      <c r="S205" s="855"/>
      <c r="T205" s="855"/>
      <c r="U205" s="855"/>
      <c r="V205" s="855"/>
      <c r="W205" s="855"/>
      <c r="X205" s="855"/>
      <c r="Y205" s="855"/>
      <c r="Z205" s="855"/>
      <c r="AA205" s="855"/>
      <c r="AB205" s="855"/>
    </row>
    <row r="206" spans="1:28" ht="15.75">
      <c r="A206" s="854"/>
      <c r="B206" s="854"/>
      <c r="C206" s="854"/>
      <c r="D206" s="855"/>
      <c r="E206" s="855"/>
      <c r="F206" s="855"/>
      <c r="G206" s="855"/>
      <c r="H206" s="855"/>
      <c r="I206" s="855"/>
      <c r="J206" s="855"/>
      <c r="K206" s="855"/>
      <c r="L206" s="855"/>
      <c r="M206" s="855"/>
      <c r="N206" s="855"/>
      <c r="O206" s="855"/>
      <c r="P206" s="855"/>
      <c r="Q206" s="855"/>
      <c r="R206" s="855"/>
      <c r="S206" s="855"/>
      <c r="T206" s="855"/>
      <c r="U206" s="855"/>
      <c r="V206" s="855"/>
      <c r="W206" s="855"/>
      <c r="X206" s="855"/>
      <c r="Y206" s="855"/>
      <c r="Z206" s="855"/>
      <c r="AA206" s="855"/>
      <c r="AB206" s="855"/>
    </row>
    <row r="207" spans="1:28" ht="15.75">
      <c r="A207" s="854"/>
      <c r="B207" s="854"/>
      <c r="C207" s="854"/>
      <c r="D207" s="855"/>
      <c r="E207" s="855"/>
      <c r="F207" s="855"/>
      <c r="G207" s="855"/>
      <c r="H207" s="855"/>
      <c r="I207" s="855"/>
      <c r="J207" s="855"/>
      <c r="K207" s="855"/>
      <c r="L207" s="855"/>
      <c r="M207" s="855"/>
      <c r="N207" s="855"/>
      <c r="O207" s="855"/>
      <c r="P207" s="855"/>
      <c r="Q207" s="855"/>
      <c r="R207" s="855"/>
      <c r="S207" s="855"/>
      <c r="T207" s="855"/>
      <c r="U207" s="855"/>
      <c r="V207" s="855"/>
      <c r="W207" s="855"/>
      <c r="X207" s="855"/>
      <c r="Y207" s="855"/>
      <c r="Z207" s="855"/>
      <c r="AA207" s="855"/>
      <c r="AB207" s="855"/>
    </row>
    <row r="208" spans="1:28" ht="15.75">
      <c r="A208" s="854"/>
      <c r="B208" s="854"/>
      <c r="C208" s="854"/>
      <c r="D208" s="855"/>
      <c r="E208" s="855"/>
      <c r="F208" s="855"/>
      <c r="G208" s="855"/>
      <c r="H208" s="855"/>
      <c r="I208" s="855"/>
      <c r="J208" s="855"/>
      <c r="K208" s="855"/>
      <c r="L208" s="855"/>
      <c r="M208" s="855"/>
      <c r="N208" s="855"/>
      <c r="O208" s="855"/>
      <c r="P208" s="855"/>
      <c r="Q208" s="855"/>
      <c r="R208" s="855"/>
      <c r="S208" s="855"/>
      <c r="T208" s="855"/>
      <c r="U208" s="855"/>
      <c r="V208" s="855"/>
      <c r="W208" s="855"/>
      <c r="X208" s="855"/>
      <c r="Y208" s="855"/>
      <c r="Z208" s="855"/>
      <c r="AA208" s="855"/>
      <c r="AB208" s="855"/>
    </row>
    <row r="209" spans="1:28" ht="15.75">
      <c r="A209" s="854"/>
      <c r="B209" s="854"/>
      <c r="C209" s="854"/>
      <c r="D209" s="855"/>
      <c r="E209" s="855"/>
      <c r="F209" s="855"/>
      <c r="G209" s="855"/>
      <c r="H209" s="855"/>
      <c r="I209" s="855"/>
      <c r="J209" s="855"/>
      <c r="K209" s="855"/>
      <c r="L209" s="855"/>
      <c r="M209" s="855"/>
      <c r="N209" s="855"/>
      <c r="O209" s="855"/>
      <c r="P209" s="855"/>
      <c r="Q209" s="855"/>
      <c r="R209" s="855"/>
      <c r="S209" s="855"/>
      <c r="T209" s="855"/>
      <c r="U209" s="855"/>
      <c r="V209" s="855"/>
      <c r="W209" s="855"/>
      <c r="X209" s="855"/>
      <c r="Y209" s="855"/>
      <c r="Z209" s="855"/>
      <c r="AA209" s="855"/>
      <c r="AB209" s="855"/>
    </row>
    <row r="210" spans="1:28" ht="15.75">
      <c r="A210" s="854"/>
      <c r="B210" s="854"/>
      <c r="C210" s="854"/>
      <c r="D210" s="855"/>
      <c r="E210" s="855"/>
      <c r="F210" s="855"/>
      <c r="G210" s="855"/>
      <c r="H210" s="855"/>
      <c r="I210" s="855"/>
      <c r="J210" s="855"/>
      <c r="K210" s="855"/>
      <c r="L210" s="855"/>
      <c r="M210" s="855"/>
      <c r="N210" s="855"/>
      <c r="O210" s="855"/>
      <c r="P210" s="855"/>
      <c r="Q210" s="855"/>
      <c r="R210" s="855"/>
      <c r="S210" s="855"/>
      <c r="T210" s="855"/>
      <c r="U210" s="855"/>
      <c r="V210" s="855"/>
      <c r="W210" s="855"/>
      <c r="X210" s="855"/>
      <c r="Y210" s="855"/>
      <c r="Z210" s="855"/>
      <c r="AA210" s="855"/>
      <c r="AB210" s="855"/>
    </row>
    <row r="211" spans="1:28" ht="15.75">
      <c r="A211" s="854"/>
      <c r="B211" s="854"/>
      <c r="C211" s="854"/>
      <c r="D211" s="855"/>
      <c r="E211" s="855"/>
      <c r="F211" s="855"/>
      <c r="G211" s="855"/>
      <c r="H211" s="855"/>
      <c r="I211" s="855"/>
      <c r="J211" s="855"/>
      <c r="K211" s="855"/>
      <c r="L211" s="855"/>
      <c r="M211" s="855"/>
      <c r="N211" s="855"/>
      <c r="O211" s="855"/>
      <c r="P211" s="855"/>
      <c r="Q211" s="855"/>
      <c r="R211" s="855"/>
      <c r="S211" s="855"/>
      <c r="T211" s="855"/>
      <c r="U211" s="855"/>
      <c r="V211" s="855"/>
      <c r="W211" s="855"/>
      <c r="X211" s="855"/>
      <c r="Y211" s="855"/>
      <c r="Z211" s="855"/>
      <c r="AA211" s="855"/>
      <c r="AB211" s="855"/>
    </row>
    <row r="212" spans="1:28" ht="15.75">
      <c r="A212" s="854"/>
      <c r="B212" s="854"/>
      <c r="C212" s="854"/>
      <c r="D212" s="855"/>
      <c r="E212" s="855"/>
      <c r="F212" s="855"/>
      <c r="G212" s="855"/>
      <c r="H212" s="855"/>
      <c r="I212" s="855"/>
      <c r="J212" s="855"/>
      <c r="K212" s="855"/>
      <c r="L212" s="855"/>
      <c r="M212" s="855"/>
      <c r="N212" s="855"/>
      <c r="O212" s="855"/>
      <c r="P212" s="855"/>
      <c r="Q212" s="855"/>
      <c r="R212" s="855"/>
      <c r="S212" s="855"/>
      <c r="T212" s="855"/>
      <c r="U212" s="855"/>
      <c r="V212" s="855"/>
      <c r="W212" s="855"/>
      <c r="X212" s="855"/>
      <c r="Y212" s="855"/>
      <c r="Z212" s="855"/>
      <c r="AA212" s="855"/>
      <c r="AB212" s="855"/>
    </row>
    <row r="213" spans="1:28" ht="15.75">
      <c r="A213" s="854"/>
      <c r="B213" s="854"/>
      <c r="C213" s="854"/>
      <c r="D213" s="855"/>
      <c r="E213" s="855"/>
      <c r="F213" s="855"/>
      <c r="G213" s="855"/>
      <c r="H213" s="855"/>
      <c r="I213" s="855"/>
      <c r="J213" s="855"/>
      <c r="K213" s="855"/>
      <c r="L213" s="855"/>
      <c r="M213" s="855"/>
      <c r="N213" s="855"/>
      <c r="O213" s="855"/>
      <c r="P213" s="855"/>
      <c r="Q213" s="855"/>
      <c r="R213" s="855"/>
      <c r="S213" s="855"/>
      <c r="T213" s="855"/>
      <c r="U213" s="855"/>
      <c r="V213" s="855"/>
      <c r="W213" s="855"/>
      <c r="X213" s="855"/>
      <c r="Y213" s="855"/>
      <c r="Z213" s="855"/>
      <c r="AA213" s="855"/>
      <c r="AB213" s="855"/>
    </row>
    <row r="214" spans="1:28" ht="15.75">
      <c r="A214" s="854"/>
      <c r="B214" s="854"/>
      <c r="C214" s="854"/>
      <c r="D214" s="855"/>
      <c r="E214" s="855"/>
      <c r="F214" s="855"/>
      <c r="G214" s="855"/>
      <c r="H214" s="855"/>
      <c r="I214" s="855"/>
      <c r="J214" s="855"/>
      <c r="K214" s="855"/>
      <c r="L214" s="855"/>
      <c r="M214" s="855"/>
      <c r="N214" s="855"/>
      <c r="O214" s="855"/>
      <c r="P214" s="855"/>
      <c r="Q214" s="855"/>
      <c r="R214" s="855"/>
      <c r="S214" s="855"/>
      <c r="T214" s="855"/>
      <c r="U214" s="855"/>
      <c r="V214" s="855"/>
      <c r="W214" s="855"/>
      <c r="X214" s="855"/>
      <c r="Y214" s="855"/>
      <c r="Z214" s="855"/>
      <c r="AA214" s="855"/>
      <c r="AB214" s="855"/>
    </row>
    <row r="215" spans="1:28" ht="15.75">
      <c r="A215" s="854"/>
      <c r="B215" s="854"/>
      <c r="C215" s="854"/>
      <c r="D215" s="855"/>
      <c r="E215" s="855"/>
      <c r="F215" s="855"/>
      <c r="G215" s="855"/>
      <c r="H215" s="855"/>
      <c r="I215" s="855"/>
      <c r="J215" s="855"/>
      <c r="K215" s="855"/>
      <c r="L215" s="855"/>
      <c r="M215" s="855"/>
      <c r="N215" s="855"/>
      <c r="O215" s="855"/>
      <c r="P215" s="855"/>
      <c r="Q215" s="855"/>
      <c r="R215" s="855"/>
      <c r="S215" s="855"/>
      <c r="T215" s="855"/>
      <c r="U215" s="855"/>
      <c r="V215" s="855"/>
      <c r="W215" s="855"/>
      <c r="X215" s="855"/>
      <c r="Y215" s="855"/>
      <c r="Z215" s="855"/>
      <c r="AA215" s="855"/>
      <c r="AB215" s="855"/>
    </row>
    <row r="216" spans="1:28" ht="15.75">
      <c r="A216" s="854"/>
      <c r="B216" s="854"/>
      <c r="C216" s="854"/>
      <c r="D216" s="855"/>
      <c r="E216" s="855"/>
      <c r="F216" s="855"/>
      <c r="G216" s="855"/>
      <c r="H216" s="855"/>
      <c r="I216" s="855"/>
      <c r="J216" s="855"/>
      <c r="K216" s="855"/>
      <c r="L216" s="855"/>
      <c r="M216" s="855"/>
      <c r="N216" s="855"/>
      <c r="O216" s="855"/>
      <c r="P216" s="855"/>
      <c r="Q216" s="855"/>
      <c r="R216" s="855"/>
      <c r="S216" s="855"/>
      <c r="T216" s="855"/>
      <c r="U216" s="855"/>
      <c r="V216" s="855"/>
      <c r="W216" s="855"/>
      <c r="X216" s="855"/>
      <c r="Y216" s="855"/>
      <c r="Z216" s="855"/>
      <c r="AA216" s="855"/>
      <c r="AB216" s="855"/>
    </row>
    <row r="217" spans="1:28" ht="15.75">
      <c r="A217" s="854"/>
      <c r="B217" s="854"/>
      <c r="C217" s="854"/>
      <c r="D217" s="855"/>
      <c r="E217" s="855"/>
      <c r="F217" s="855"/>
      <c r="G217" s="855"/>
      <c r="H217" s="855"/>
      <c r="I217" s="855"/>
      <c r="J217" s="855"/>
      <c r="K217" s="855"/>
      <c r="L217" s="855"/>
      <c r="M217" s="855"/>
      <c r="N217" s="855"/>
      <c r="O217" s="855"/>
      <c r="P217" s="855"/>
      <c r="Q217" s="855"/>
      <c r="R217" s="855"/>
      <c r="S217" s="855"/>
      <c r="T217" s="855"/>
      <c r="U217" s="855"/>
      <c r="V217" s="855"/>
      <c r="W217" s="855"/>
      <c r="X217" s="855"/>
      <c r="Y217" s="855"/>
      <c r="Z217" s="855"/>
      <c r="AA217" s="855"/>
      <c r="AB217" s="855"/>
    </row>
    <row r="218" spans="1:28" ht="15.75">
      <c r="A218" s="854"/>
      <c r="B218" s="854"/>
      <c r="C218" s="854"/>
      <c r="D218" s="855"/>
      <c r="E218" s="855"/>
      <c r="F218" s="855"/>
      <c r="G218" s="855"/>
      <c r="H218" s="855"/>
      <c r="I218" s="855"/>
      <c r="J218" s="855"/>
      <c r="K218" s="855"/>
      <c r="L218" s="855"/>
      <c r="M218" s="855"/>
      <c r="N218" s="855"/>
      <c r="O218" s="855"/>
      <c r="P218" s="855"/>
      <c r="Q218" s="855"/>
      <c r="R218" s="855"/>
      <c r="S218" s="855"/>
      <c r="T218" s="855"/>
      <c r="U218" s="855"/>
      <c r="V218" s="855"/>
      <c r="W218" s="855"/>
      <c r="X218" s="855"/>
      <c r="Y218" s="855"/>
      <c r="Z218" s="855"/>
      <c r="AA218" s="855"/>
      <c r="AB218" s="855"/>
    </row>
    <row r="219" spans="1:28" ht="15.75">
      <c r="A219" s="854"/>
      <c r="B219" s="854"/>
      <c r="C219" s="854"/>
      <c r="D219" s="855"/>
      <c r="E219" s="855"/>
      <c r="F219" s="855"/>
      <c r="G219" s="855"/>
      <c r="H219" s="855"/>
      <c r="I219" s="855"/>
      <c r="J219" s="855"/>
      <c r="K219" s="855"/>
      <c r="L219" s="855"/>
      <c r="M219" s="855"/>
      <c r="N219" s="855"/>
      <c r="O219" s="855"/>
      <c r="P219" s="855"/>
      <c r="Q219" s="855"/>
      <c r="R219" s="855"/>
      <c r="S219" s="855"/>
      <c r="T219" s="855"/>
      <c r="U219" s="855"/>
      <c r="V219" s="855"/>
      <c r="W219" s="855"/>
      <c r="X219" s="855"/>
      <c r="Y219" s="855"/>
      <c r="Z219" s="855"/>
      <c r="AA219" s="855"/>
      <c r="AB219" s="855"/>
    </row>
    <row r="220" spans="1:28" ht="15.75">
      <c r="A220" s="854"/>
      <c r="B220" s="854"/>
      <c r="C220" s="854"/>
      <c r="D220" s="855"/>
      <c r="E220" s="855"/>
      <c r="F220" s="855"/>
      <c r="G220" s="855"/>
      <c r="H220" s="855"/>
      <c r="I220" s="855"/>
      <c r="J220" s="855"/>
      <c r="K220" s="855"/>
      <c r="L220" s="855"/>
      <c r="M220" s="855"/>
      <c r="N220" s="855"/>
      <c r="O220" s="855"/>
      <c r="P220" s="855"/>
      <c r="Q220" s="855"/>
      <c r="R220" s="855"/>
      <c r="S220" s="855"/>
      <c r="T220" s="855"/>
      <c r="U220" s="855"/>
      <c r="V220" s="855"/>
      <c r="W220" s="855"/>
      <c r="X220" s="855"/>
      <c r="Y220" s="855"/>
      <c r="Z220" s="855"/>
      <c r="AA220" s="855"/>
      <c r="AB220" s="855"/>
    </row>
    <row r="221" spans="1:28" ht="15.75">
      <c r="A221" s="854"/>
      <c r="B221" s="854"/>
      <c r="C221" s="854"/>
      <c r="D221" s="855"/>
      <c r="E221" s="855"/>
      <c r="F221" s="855"/>
      <c r="G221" s="855"/>
      <c r="H221" s="855"/>
      <c r="I221" s="855"/>
      <c r="J221" s="855"/>
      <c r="K221" s="855"/>
      <c r="L221" s="855"/>
      <c r="M221" s="855"/>
      <c r="N221" s="855"/>
      <c r="O221" s="855"/>
      <c r="P221" s="855"/>
      <c r="Q221" s="855"/>
      <c r="R221" s="855"/>
      <c r="S221" s="855"/>
      <c r="T221" s="855"/>
      <c r="U221" s="855"/>
      <c r="V221" s="855"/>
      <c r="W221" s="855"/>
      <c r="X221" s="855"/>
      <c r="Y221" s="855"/>
      <c r="Z221" s="855"/>
      <c r="AA221" s="855"/>
      <c r="AB221" s="855"/>
    </row>
    <row r="222" spans="1:28" ht="15.75">
      <c r="A222" s="854"/>
      <c r="B222" s="854"/>
      <c r="C222" s="854"/>
      <c r="D222" s="855"/>
      <c r="E222" s="855"/>
      <c r="F222" s="855"/>
      <c r="G222" s="855"/>
      <c r="H222" s="855"/>
      <c r="I222" s="855"/>
      <c r="J222" s="855"/>
      <c r="K222" s="855"/>
      <c r="L222" s="855"/>
      <c r="M222" s="855"/>
      <c r="N222" s="855"/>
      <c r="O222" s="855"/>
      <c r="P222" s="855"/>
      <c r="Q222" s="855"/>
      <c r="R222" s="855"/>
      <c r="S222" s="855"/>
      <c r="T222" s="855"/>
      <c r="U222" s="855"/>
      <c r="V222" s="855"/>
      <c r="W222" s="855"/>
      <c r="X222" s="855"/>
      <c r="Y222" s="855"/>
      <c r="Z222" s="855"/>
      <c r="AA222" s="855"/>
      <c r="AB222" s="855"/>
    </row>
    <row r="223" spans="1:28" ht="15.75">
      <c r="A223" s="854"/>
      <c r="B223" s="854"/>
      <c r="C223" s="854"/>
      <c r="D223" s="855"/>
      <c r="E223" s="855"/>
      <c r="F223" s="855"/>
      <c r="G223" s="855"/>
      <c r="H223" s="855"/>
      <c r="I223" s="855"/>
      <c r="J223" s="855"/>
      <c r="K223" s="855"/>
      <c r="L223" s="855"/>
      <c r="M223" s="855"/>
      <c r="N223" s="855"/>
      <c r="O223" s="855"/>
      <c r="P223" s="855"/>
      <c r="Q223" s="855"/>
      <c r="R223" s="855"/>
      <c r="S223" s="855"/>
      <c r="T223" s="855"/>
      <c r="U223" s="855"/>
      <c r="V223" s="855"/>
      <c r="W223" s="855"/>
      <c r="X223" s="855"/>
      <c r="Y223" s="855"/>
      <c r="Z223" s="855"/>
      <c r="AA223" s="855"/>
      <c r="AB223" s="855"/>
    </row>
    <row r="224" spans="1:28" ht="15.75">
      <c r="A224" s="854"/>
      <c r="B224" s="854"/>
      <c r="C224" s="854"/>
      <c r="D224" s="855"/>
      <c r="E224" s="855"/>
      <c r="F224" s="855"/>
      <c r="G224" s="855"/>
      <c r="H224" s="855"/>
      <c r="I224" s="855"/>
      <c r="J224" s="855"/>
      <c r="K224" s="855"/>
      <c r="L224" s="855"/>
      <c r="M224" s="855"/>
      <c r="N224" s="855"/>
      <c r="O224" s="855"/>
      <c r="P224" s="855"/>
      <c r="Q224" s="855"/>
      <c r="R224" s="855"/>
      <c r="S224" s="855"/>
      <c r="T224" s="855"/>
      <c r="U224" s="855"/>
      <c r="V224" s="855"/>
      <c r="W224" s="855"/>
      <c r="X224" s="855"/>
      <c r="Y224" s="855"/>
      <c r="Z224" s="855"/>
      <c r="AA224" s="855"/>
      <c r="AB224" s="855"/>
    </row>
    <row r="225" spans="1:28" ht="15.75">
      <c r="A225" s="854"/>
      <c r="B225" s="854"/>
      <c r="C225" s="854"/>
      <c r="D225" s="855"/>
      <c r="E225" s="855"/>
      <c r="F225" s="855"/>
      <c r="G225" s="855"/>
      <c r="H225" s="855"/>
      <c r="I225" s="855"/>
      <c r="J225" s="855"/>
      <c r="K225" s="855"/>
      <c r="L225" s="855"/>
      <c r="M225" s="855"/>
      <c r="N225" s="855"/>
      <c r="O225" s="855"/>
      <c r="P225" s="855"/>
      <c r="Q225" s="855"/>
      <c r="R225" s="855"/>
      <c r="S225" s="855"/>
      <c r="T225" s="855"/>
      <c r="U225" s="855"/>
      <c r="V225" s="855"/>
      <c r="W225" s="855"/>
      <c r="X225" s="855"/>
      <c r="Y225" s="855"/>
      <c r="Z225" s="855"/>
      <c r="AA225" s="855"/>
      <c r="AB225" s="855"/>
    </row>
    <row r="226" spans="1:28" ht="15.75">
      <c r="A226" s="854"/>
      <c r="B226" s="854"/>
      <c r="C226" s="854"/>
      <c r="D226" s="855"/>
      <c r="E226" s="855"/>
      <c r="F226" s="855"/>
      <c r="G226" s="855"/>
      <c r="H226" s="855"/>
      <c r="I226" s="855"/>
      <c r="J226" s="855"/>
      <c r="K226" s="855"/>
      <c r="L226" s="855"/>
      <c r="M226" s="855"/>
      <c r="N226" s="855"/>
      <c r="O226" s="855"/>
      <c r="P226" s="855"/>
      <c r="Q226" s="855"/>
      <c r="R226" s="855"/>
      <c r="S226" s="855"/>
      <c r="T226" s="855"/>
      <c r="U226" s="855"/>
      <c r="V226" s="855"/>
      <c r="W226" s="855"/>
      <c r="X226" s="855"/>
      <c r="Y226" s="855"/>
      <c r="Z226" s="855"/>
      <c r="AA226" s="855"/>
      <c r="AB226" s="855"/>
    </row>
    <row r="227" spans="1:28" ht="15.75">
      <c r="A227" s="854"/>
      <c r="B227" s="854"/>
      <c r="C227" s="854"/>
      <c r="D227" s="855"/>
      <c r="E227" s="855"/>
      <c r="F227" s="855"/>
      <c r="G227" s="855"/>
      <c r="H227" s="855"/>
      <c r="I227" s="855"/>
      <c r="J227" s="855"/>
      <c r="K227" s="855"/>
      <c r="L227" s="855"/>
      <c r="M227" s="855"/>
      <c r="N227" s="855"/>
      <c r="O227" s="855"/>
      <c r="P227" s="855"/>
      <c r="Q227" s="855"/>
      <c r="R227" s="855"/>
      <c r="S227" s="855"/>
      <c r="T227" s="855"/>
      <c r="U227" s="855"/>
      <c r="V227" s="855"/>
      <c r="W227" s="855"/>
      <c r="X227" s="855"/>
      <c r="Y227" s="855"/>
      <c r="Z227" s="855"/>
      <c r="AA227" s="855"/>
      <c r="AB227" s="855"/>
    </row>
    <row r="228" spans="1:28" ht="15.75">
      <c r="A228" s="854"/>
      <c r="B228" s="854"/>
      <c r="C228" s="854"/>
      <c r="D228" s="855"/>
      <c r="E228" s="855"/>
      <c r="F228" s="855"/>
      <c r="G228" s="855"/>
      <c r="H228" s="855"/>
      <c r="I228" s="855"/>
      <c r="J228" s="855"/>
      <c r="K228" s="855"/>
      <c r="L228" s="855"/>
      <c r="M228" s="855"/>
      <c r="N228" s="855"/>
      <c r="O228" s="855"/>
      <c r="P228" s="855"/>
      <c r="Q228" s="855"/>
      <c r="R228" s="855"/>
      <c r="S228" s="855"/>
      <c r="T228" s="855"/>
      <c r="U228" s="855"/>
      <c r="V228" s="855"/>
      <c r="W228" s="855"/>
      <c r="X228" s="855"/>
      <c r="Y228" s="855"/>
      <c r="Z228" s="855"/>
      <c r="AA228" s="855"/>
      <c r="AB228" s="855"/>
    </row>
    <row r="229" spans="1:28" ht="15.75">
      <c r="A229" s="854"/>
      <c r="B229" s="854"/>
      <c r="C229" s="854"/>
      <c r="D229" s="855"/>
      <c r="E229" s="855"/>
      <c r="F229" s="855"/>
      <c r="G229" s="855"/>
      <c r="H229" s="855"/>
      <c r="I229" s="855"/>
      <c r="J229" s="855"/>
      <c r="K229" s="855"/>
      <c r="L229" s="855"/>
      <c r="M229" s="855"/>
      <c r="N229" s="855"/>
      <c r="O229" s="855"/>
      <c r="P229" s="855"/>
      <c r="Q229" s="855"/>
      <c r="R229" s="855"/>
      <c r="S229" s="855"/>
      <c r="T229" s="855"/>
      <c r="U229" s="855"/>
      <c r="V229" s="855"/>
      <c r="W229" s="855"/>
      <c r="X229" s="855"/>
      <c r="Y229" s="855"/>
      <c r="Z229" s="855"/>
      <c r="AA229" s="855"/>
      <c r="AB229" s="855"/>
    </row>
    <row r="230" spans="1:28" ht="15.75">
      <c r="A230" s="854"/>
      <c r="B230" s="854"/>
      <c r="C230" s="854"/>
      <c r="D230" s="855"/>
      <c r="E230" s="855"/>
      <c r="F230" s="855"/>
      <c r="G230" s="855"/>
      <c r="H230" s="855"/>
      <c r="I230" s="855"/>
      <c r="J230" s="855"/>
      <c r="K230" s="855"/>
      <c r="L230" s="855"/>
      <c r="M230" s="855"/>
      <c r="N230" s="855"/>
      <c r="O230" s="855"/>
      <c r="P230" s="855"/>
      <c r="Q230" s="855"/>
      <c r="R230" s="855"/>
      <c r="S230" s="855"/>
      <c r="T230" s="855"/>
      <c r="U230" s="855"/>
      <c r="V230" s="855"/>
      <c r="W230" s="855"/>
      <c r="X230" s="855"/>
      <c r="Y230" s="855"/>
      <c r="Z230" s="855"/>
      <c r="AA230" s="855"/>
      <c r="AB230" s="855"/>
    </row>
    <row r="231" spans="1:28" ht="15.75">
      <c r="A231" s="854"/>
      <c r="B231" s="854"/>
      <c r="C231" s="854"/>
      <c r="D231" s="855"/>
      <c r="E231" s="855"/>
      <c r="F231" s="855"/>
      <c r="G231" s="855"/>
      <c r="H231" s="855"/>
      <c r="I231" s="855"/>
      <c r="J231" s="855"/>
      <c r="K231" s="855"/>
      <c r="L231" s="855"/>
      <c r="M231" s="855"/>
      <c r="N231" s="855"/>
      <c r="O231" s="855"/>
      <c r="P231" s="855"/>
      <c r="Q231" s="855"/>
      <c r="R231" s="855"/>
      <c r="S231" s="855"/>
      <c r="T231" s="855"/>
      <c r="U231" s="855"/>
      <c r="V231" s="855"/>
      <c r="W231" s="855"/>
      <c r="X231" s="855"/>
      <c r="Y231" s="855"/>
      <c r="Z231" s="855"/>
      <c r="AA231" s="855"/>
      <c r="AB231" s="855"/>
    </row>
    <row r="232" spans="1:28" ht="15.75">
      <c r="A232" s="854"/>
      <c r="B232" s="854"/>
      <c r="C232" s="854"/>
      <c r="D232" s="855"/>
      <c r="E232" s="855"/>
      <c r="F232" s="855"/>
      <c r="G232" s="855"/>
      <c r="H232" s="855"/>
      <c r="I232" s="855"/>
      <c r="J232" s="855"/>
      <c r="K232" s="855"/>
      <c r="L232" s="855"/>
      <c r="M232" s="855"/>
      <c r="N232" s="855"/>
      <c r="O232" s="855"/>
      <c r="P232" s="855"/>
      <c r="Q232" s="855"/>
      <c r="R232" s="855"/>
      <c r="S232" s="855"/>
      <c r="T232" s="855"/>
      <c r="U232" s="855"/>
      <c r="V232" s="855"/>
      <c r="W232" s="855"/>
      <c r="X232" s="855"/>
      <c r="Y232" s="855"/>
      <c r="Z232" s="855"/>
      <c r="AA232" s="855"/>
      <c r="AB232" s="855"/>
    </row>
    <row r="233" spans="1:28" ht="15.75">
      <c r="A233" s="854"/>
      <c r="B233" s="854"/>
      <c r="C233" s="854"/>
      <c r="D233" s="855"/>
      <c r="E233" s="855"/>
      <c r="F233" s="855"/>
      <c r="G233" s="855"/>
      <c r="H233" s="855"/>
      <c r="I233" s="855"/>
      <c r="J233" s="855"/>
      <c r="K233" s="855"/>
      <c r="L233" s="855"/>
      <c r="M233" s="855"/>
      <c r="N233" s="855"/>
      <c r="O233" s="855"/>
      <c r="P233" s="855"/>
      <c r="Q233" s="855"/>
      <c r="R233" s="855"/>
      <c r="S233" s="855"/>
      <c r="T233" s="855"/>
      <c r="U233" s="855"/>
      <c r="V233" s="855"/>
      <c r="W233" s="855"/>
      <c r="X233" s="855"/>
      <c r="Y233" s="855"/>
      <c r="Z233" s="855"/>
      <c r="AA233" s="855"/>
      <c r="AB233" s="855"/>
    </row>
    <row r="234" spans="1:28" ht="15.75">
      <c r="A234" s="854"/>
      <c r="B234" s="854"/>
      <c r="C234" s="854"/>
      <c r="D234" s="855"/>
      <c r="E234" s="855"/>
      <c r="F234" s="855"/>
      <c r="G234" s="855"/>
      <c r="H234" s="855"/>
      <c r="I234" s="855"/>
      <c r="J234" s="855"/>
      <c r="K234" s="855"/>
      <c r="L234" s="855"/>
      <c r="M234" s="855"/>
      <c r="N234" s="855"/>
      <c r="O234" s="855"/>
      <c r="P234" s="855"/>
      <c r="Q234" s="855"/>
      <c r="R234" s="855"/>
      <c r="S234" s="855"/>
      <c r="T234" s="855"/>
      <c r="U234" s="855"/>
      <c r="V234" s="855"/>
      <c r="W234" s="855"/>
      <c r="X234" s="855"/>
      <c r="Y234" s="855"/>
      <c r="Z234" s="855"/>
      <c r="AA234" s="855"/>
      <c r="AB234" s="855"/>
    </row>
    <row r="235" spans="1:28" ht="15.75">
      <c r="A235" s="854"/>
      <c r="B235" s="854"/>
      <c r="C235" s="854"/>
      <c r="D235" s="855"/>
      <c r="E235" s="855"/>
      <c r="F235" s="855"/>
      <c r="G235" s="855"/>
      <c r="H235" s="855"/>
      <c r="I235" s="855"/>
      <c r="J235" s="855"/>
      <c r="K235" s="855"/>
      <c r="L235" s="855"/>
      <c r="M235" s="855"/>
      <c r="N235" s="855"/>
      <c r="O235" s="855"/>
      <c r="P235" s="855"/>
      <c r="Q235" s="855"/>
      <c r="R235" s="855"/>
      <c r="S235" s="855"/>
      <c r="T235" s="855"/>
      <c r="U235" s="855"/>
      <c r="V235" s="855"/>
      <c r="W235" s="855"/>
      <c r="X235" s="855"/>
      <c r="Y235" s="855"/>
      <c r="Z235" s="855"/>
      <c r="AA235" s="855"/>
      <c r="AB235" s="855"/>
    </row>
    <row r="236" spans="1:28" ht="15.75">
      <c r="A236" s="854"/>
      <c r="B236" s="854"/>
      <c r="C236" s="854"/>
      <c r="D236" s="855"/>
      <c r="E236" s="855"/>
      <c r="F236" s="855"/>
      <c r="G236" s="855"/>
      <c r="H236" s="855"/>
      <c r="I236" s="855"/>
      <c r="J236" s="855"/>
      <c r="K236" s="855"/>
      <c r="L236" s="855"/>
      <c r="M236" s="855"/>
      <c r="N236" s="855"/>
      <c r="O236" s="855"/>
      <c r="P236" s="855"/>
      <c r="Q236" s="855"/>
      <c r="R236" s="855"/>
      <c r="S236" s="855"/>
      <c r="T236" s="855"/>
      <c r="U236" s="855"/>
      <c r="V236" s="855"/>
      <c r="W236" s="855"/>
      <c r="X236" s="855"/>
      <c r="Y236" s="855"/>
      <c r="Z236" s="855"/>
      <c r="AA236" s="855"/>
      <c r="AB236" s="855"/>
    </row>
    <row r="237" spans="1:28" ht="15.75">
      <c r="A237" s="854"/>
      <c r="B237" s="854"/>
      <c r="C237" s="854"/>
      <c r="D237" s="855"/>
      <c r="E237" s="855"/>
      <c r="F237" s="855"/>
      <c r="G237" s="855"/>
      <c r="H237" s="855"/>
      <c r="I237" s="855"/>
      <c r="J237" s="855"/>
      <c r="K237" s="855"/>
      <c r="L237" s="855"/>
      <c r="M237" s="855"/>
      <c r="N237" s="855"/>
      <c r="O237" s="855"/>
      <c r="P237" s="855"/>
      <c r="Q237" s="855"/>
      <c r="R237" s="855"/>
      <c r="S237" s="855"/>
      <c r="T237" s="855"/>
      <c r="U237" s="855"/>
      <c r="V237" s="855"/>
      <c r="W237" s="855"/>
      <c r="X237" s="855"/>
      <c r="Y237" s="855"/>
      <c r="Z237" s="855"/>
      <c r="AA237" s="855"/>
      <c r="AB237" s="855"/>
    </row>
    <row r="238" spans="1:28" ht="15.75">
      <c r="A238" s="854"/>
      <c r="B238" s="854"/>
      <c r="C238" s="854"/>
      <c r="D238" s="855"/>
      <c r="E238" s="855"/>
      <c r="F238" s="855"/>
      <c r="G238" s="855"/>
      <c r="H238" s="855"/>
      <c r="I238" s="855"/>
      <c r="J238" s="855"/>
      <c r="K238" s="855"/>
      <c r="L238" s="855"/>
      <c r="M238" s="855"/>
      <c r="N238" s="855"/>
      <c r="O238" s="855"/>
      <c r="P238" s="855"/>
      <c r="Q238" s="855"/>
      <c r="R238" s="855"/>
      <c r="S238" s="855"/>
      <c r="T238" s="855"/>
      <c r="U238" s="855"/>
      <c r="V238" s="855"/>
      <c r="W238" s="855"/>
      <c r="X238" s="855"/>
      <c r="Y238" s="855"/>
      <c r="Z238" s="855"/>
      <c r="AA238" s="855"/>
      <c r="AB238" s="855"/>
    </row>
    <row r="239" spans="1:28" ht="15.75">
      <c r="A239" s="854"/>
      <c r="B239" s="854"/>
      <c r="C239" s="854"/>
      <c r="D239" s="855"/>
      <c r="E239" s="855"/>
      <c r="F239" s="855"/>
      <c r="G239" s="855"/>
      <c r="H239" s="855"/>
      <c r="I239" s="855"/>
      <c r="J239" s="855"/>
      <c r="K239" s="855"/>
      <c r="L239" s="855"/>
      <c r="M239" s="855"/>
      <c r="N239" s="855"/>
      <c r="O239" s="855"/>
      <c r="P239" s="855"/>
      <c r="Q239" s="855"/>
      <c r="R239" s="855"/>
      <c r="S239" s="855"/>
      <c r="T239" s="855"/>
      <c r="U239" s="855"/>
      <c r="V239" s="855"/>
      <c r="W239" s="855"/>
      <c r="X239" s="855"/>
      <c r="Y239" s="855"/>
      <c r="Z239" s="855"/>
      <c r="AA239" s="855"/>
      <c r="AB239" s="855"/>
    </row>
    <row r="240" spans="1:28" ht="15.75">
      <c r="A240" s="854"/>
      <c r="B240" s="854"/>
      <c r="C240" s="854"/>
      <c r="D240" s="855"/>
      <c r="E240" s="855"/>
      <c r="F240" s="855"/>
      <c r="G240" s="855"/>
      <c r="H240" s="855"/>
      <c r="I240" s="855"/>
      <c r="J240" s="855"/>
      <c r="K240" s="855"/>
      <c r="L240" s="855"/>
      <c r="M240" s="855"/>
      <c r="N240" s="855"/>
      <c r="O240" s="855"/>
      <c r="P240" s="855"/>
      <c r="Q240" s="855"/>
      <c r="R240" s="855"/>
      <c r="S240" s="855"/>
      <c r="T240" s="855"/>
      <c r="U240" s="855"/>
      <c r="V240" s="855"/>
      <c r="W240" s="855"/>
      <c r="X240" s="855"/>
      <c r="Y240" s="855"/>
      <c r="Z240" s="855"/>
      <c r="AA240" s="855"/>
      <c r="AB240" s="855"/>
    </row>
    <row r="241" spans="1:28" ht="15.75">
      <c r="A241" s="854"/>
      <c r="B241" s="854"/>
      <c r="C241" s="854"/>
      <c r="D241" s="855"/>
      <c r="E241" s="855"/>
      <c r="F241" s="855"/>
      <c r="G241" s="855"/>
      <c r="H241" s="855"/>
      <c r="I241" s="855"/>
      <c r="J241" s="855"/>
      <c r="K241" s="855"/>
      <c r="L241" s="855"/>
      <c r="M241" s="855"/>
      <c r="N241" s="855"/>
      <c r="O241" s="855"/>
      <c r="P241" s="855"/>
      <c r="Q241" s="855"/>
      <c r="R241" s="855"/>
      <c r="S241" s="855"/>
      <c r="T241" s="855"/>
      <c r="U241" s="855"/>
      <c r="V241" s="855"/>
      <c r="W241" s="855"/>
      <c r="X241" s="855"/>
      <c r="Y241" s="855"/>
      <c r="Z241" s="855"/>
      <c r="AA241" s="855"/>
      <c r="AB241" s="855"/>
    </row>
    <row r="242" spans="1:28" ht="15.75">
      <c r="A242" s="854"/>
      <c r="B242" s="854"/>
      <c r="C242" s="854"/>
      <c r="D242" s="855"/>
      <c r="E242" s="855"/>
      <c r="F242" s="855"/>
      <c r="G242" s="855"/>
      <c r="H242" s="855"/>
      <c r="I242" s="855"/>
      <c r="J242" s="855"/>
      <c r="K242" s="855"/>
      <c r="L242" s="855"/>
      <c r="M242" s="855"/>
      <c r="N242" s="855"/>
      <c r="O242" s="855"/>
      <c r="P242" s="855"/>
      <c r="Q242" s="855"/>
      <c r="R242" s="855"/>
      <c r="S242" s="855"/>
      <c r="T242" s="855"/>
      <c r="U242" s="855"/>
      <c r="V242" s="855"/>
      <c r="W242" s="855"/>
      <c r="X242" s="855"/>
      <c r="Y242" s="855"/>
      <c r="Z242" s="855"/>
      <c r="AA242" s="855"/>
      <c r="AB242" s="855"/>
    </row>
    <row r="243" spans="1:28" ht="15.75">
      <c r="A243" s="854"/>
      <c r="B243" s="854"/>
      <c r="C243" s="854"/>
      <c r="D243" s="855"/>
      <c r="E243" s="855"/>
      <c r="F243" s="855"/>
      <c r="G243" s="855"/>
      <c r="H243" s="855"/>
      <c r="I243" s="855"/>
      <c r="J243" s="855"/>
      <c r="K243" s="855"/>
      <c r="L243" s="855"/>
      <c r="M243" s="855"/>
      <c r="N243" s="855"/>
      <c r="O243" s="855"/>
      <c r="P243" s="855"/>
      <c r="Q243" s="855"/>
      <c r="R243" s="855"/>
      <c r="S243" s="855"/>
      <c r="T243" s="855"/>
      <c r="U243" s="855"/>
      <c r="V243" s="855"/>
      <c r="W243" s="855"/>
      <c r="X243" s="855"/>
      <c r="Y243" s="855"/>
      <c r="Z243" s="855"/>
      <c r="AA243" s="855"/>
      <c r="AB243" s="855"/>
    </row>
    <row r="244" spans="1:28" ht="15.75">
      <c r="A244" s="854"/>
      <c r="B244" s="854"/>
      <c r="C244" s="854"/>
      <c r="D244" s="855"/>
      <c r="E244" s="855"/>
      <c r="F244" s="855"/>
      <c r="G244" s="855"/>
      <c r="H244" s="855"/>
      <c r="I244" s="855"/>
      <c r="J244" s="855"/>
      <c r="K244" s="855"/>
      <c r="L244" s="855"/>
      <c r="M244" s="855"/>
      <c r="N244" s="855"/>
      <c r="O244" s="855"/>
      <c r="P244" s="855"/>
      <c r="Q244" s="855"/>
      <c r="R244" s="855"/>
      <c r="S244" s="855"/>
      <c r="T244" s="855"/>
      <c r="U244" s="855"/>
      <c r="V244" s="855"/>
      <c r="W244" s="855"/>
      <c r="X244" s="855"/>
      <c r="Y244" s="855"/>
      <c r="Z244" s="855"/>
      <c r="AA244" s="855"/>
      <c r="AB244" s="855"/>
    </row>
    <row r="245" spans="1:28" ht="15.75">
      <c r="A245" s="854"/>
      <c r="B245" s="854"/>
      <c r="C245" s="854"/>
      <c r="D245" s="855"/>
      <c r="E245" s="855"/>
      <c r="F245" s="855"/>
      <c r="G245" s="855"/>
      <c r="H245" s="855"/>
      <c r="I245" s="855"/>
      <c r="J245" s="855"/>
      <c r="K245" s="855"/>
      <c r="L245" s="855"/>
      <c r="M245" s="855"/>
      <c r="N245" s="855"/>
      <c r="O245" s="855"/>
      <c r="P245" s="855"/>
      <c r="Q245" s="855"/>
      <c r="R245" s="855"/>
      <c r="S245" s="855"/>
      <c r="T245" s="855"/>
      <c r="U245" s="855"/>
      <c r="V245" s="855"/>
      <c r="W245" s="855"/>
      <c r="X245" s="855"/>
      <c r="Y245" s="855"/>
      <c r="Z245" s="855"/>
      <c r="AA245" s="855"/>
      <c r="AB245" s="855"/>
    </row>
    <row r="246" spans="1:28" ht="15.75">
      <c r="A246" s="854"/>
      <c r="B246" s="854"/>
      <c r="C246" s="854"/>
      <c r="D246" s="855"/>
      <c r="E246" s="855"/>
      <c r="F246" s="855"/>
      <c r="G246" s="855"/>
      <c r="H246" s="855"/>
      <c r="I246" s="855"/>
      <c r="J246" s="855"/>
      <c r="K246" s="855"/>
      <c r="L246" s="855"/>
      <c r="M246" s="855"/>
      <c r="N246" s="855"/>
      <c r="O246" s="855"/>
      <c r="P246" s="855"/>
      <c r="Q246" s="855"/>
      <c r="R246" s="855"/>
      <c r="S246" s="855"/>
      <c r="T246" s="855"/>
      <c r="U246" s="855"/>
      <c r="V246" s="855"/>
      <c r="W246" s="855"/>
      <c r="X246" s="855"/>
      <c r="Y246" s="855"/>
      <c r="Z246" s="855"/>
      <c r="AA246" s="855"/>
      <c r="AB246" s="855"/>
    </row>
    <row r="247" spans="1:28" ht="15.75">
      <c r="A247" s="854"/>
      <c r="B247" s="854"/>
      <c r="C247" s="854"/>
      <c r="D247" s="855"/>
      <c r="E247" s="855"/>
      <c r="F247" s="855"/>
      <c r="G247" s="855"/>
      <c r="H247" s="855"/>
      <c r="I247" s="855"/>
      <c r="J247" s="855"/>
      <c r="K247" s="855"/>
      <c r="L247" s="855"/>
      <c r="M247" s="855"/>
      <c r="N247" s="855"/>
      <c r="O247" s="855"/>
      <c r="P247" s="855"/>
      <c r="Q247" s="855"/>
      <c r="R247" s="855"/>
      <c r="S247" s="855"/>
      <c r="T247" s="855"/>
      <c r="U247" s="855"/>
      <c r="V247" s="855"/>
      <c r="W247" s="855"/>
      <c r="X247" s="855"/>
      <c r="Y247" s="855"/>
      <c r="Z247" s="855"/>
      <c r="AA247" s="855"/>
      <c r="AB247" s="855"/>
    </row>
    <row r="248" spans="1:28" ht="15.75">
      <c r="A248" s="854"/>
      <c r="B248" s="854"/>
      <c r="C248" s="854"/>
      <c r="D248" s="855"/>
      <c r="E248" s="855"/>
      <c r="F248" s="855"/>
      <c r="G248" s="855"/>
      <c r="H248" s="855"/>
      <c r="I248" s="855"/>
      <c r="J248" s="855"/>
      <c r="K248" s="855"/>
      <c r="L248" s="855"/>
      <c r="M248" s="855"/>
      <c r="N248" s="855"/>
      <c r="O248" s="855"/>
      <c r="P248" s="855"/>
      <c r="Q248" s="855"/>
      <c r="R248" s="855"/>
      <c r="S248" s="855"/>
      <c r="T248" s="855"/>
      <c r="U248" s="855"/>
      <c r="V248" s="855"/>
      <c r="W248" s="855"/>
      <c r="X248" s="855"/>
      <c r="Y248" s="855"/>
      <c r="Z248" s="855"/>
      <c r="AA248" s="855"/>
      <c r="AB248" s="855"/>
    </row>
    <row r="249" spans="1:28" ht="15.75">
      <c r="A249" s="854"/>
      <c r="B249" s="854"/>
      <c r="C249" s="854"/>
      <c r="D249" s="855"/>
      <c r="E249" s="855"/>
      <c r="F249" s="855"/>
      <c r="G249" s="855"/>
      <c r="H249" s="855"/>
      <c r="I249" s="855"/>
      <c r="J249" s="855"/>
      <c r="K249" s="855"/>
      <c r="L249" s="855"/>
      <c r="M249" s="855"/>
      <c r="N249" s="855"/>
      <c r="O249" s="855"/>
      <c r="P249" s="855"/>
      <c r="Q249" s="855"/>
      <c r="R249" s="855"/>
      <c r="S249" s="855"/>
      <c r="T249" s="855"/>
      <c r="U249" s="855"/>
      <c r="V249" s="855"/>
      <c r="W249" s="855"/>
      <c r="X249" s="855"/>
      <c r="Y249" s="855"/>
      <c r="Z249" s="855"/>
      <c r="AA249" s="855"/>
      <c r="AB249" s="855"/>
    </row>
    <row r="250" spans="1:28" ht="15.75">
      <c r="A250" s="854"/>
      <c r="B250" s="854"/>
      <c r="C250" s="854"/>
      <c r="D250" s="855"/>
      <c r="E250" s="855"/>
      <c r="F250" s="855"/>
      <c r="G250" s="855"/>
      <c r="H250" s="855"/>
      <c r="I250" s="855"/>
      <c r="J250" s="855"/>
      <c r="K250" s="855"/>
      <c r="L250" s="855"/>
      <c r="M250" s="855"/>
      <c r="N250" s="855"/>
      <c r="O250" s="855"/>
      <c r="P250" s="855"/>
      <c r="Q250" s="855"/>
      <c r="R250" s="855"/>
      <c r="S250" s="855"/>
      <c r="T250" s="855"/>
      <c r="U250" s="855"/>
      <c r="V250" s="855"/>
      <c r="W250" s="855"/>
      <c r="X250" s="855"/>
      <c r="Y250" s="855"/>
      <c r="Z250" s="855"/>
      <c r="AA250" s="855"/>
      <c r="AB250" s="855"/>
    </row>
    <row r="251" spans="1:28" ht="15.75">
      <c r="A251" s="854"/>
      <c r="B251" s="854"/>
      <c r="C251" s="854"/>
      <c r="D251" s="855"/>
      <c r="E251" s="855"/>
      <c r="F251" s="855"/>
      <c r="G251" s="855"/>
      <c r="H251" s="855"/>
      <c r="I251" s="855"/>
      <c r="J251" s="855"/>
      <c r="K251" s="855"/>
      <c r="L251" s="855"/>
      <c r="M251" s="855"/>
      <c r="N251" s="855"/>
      <c r="O251" s="855"/>
      <c r="P251" s="855"/>
      <c r="Q251" s="855"/>
      <c r="R251" s="855"/>
      <c r="S251" s="855"/>
      <c r="T251" s="855"/>
      <c r="U251" s="855"/>
      <c r="V251" s="855"/>
      <c r="W251" s="855"/>
      <c r="X251" s="855"/>
      <c r="Y251" s="855"/>
      <c r="Z251" s="855"/>
      <c r="AA251" s="855"/>
      <c r="AB251" s="855"/>
    </row>
    <row r="252" spans="1:28" ht="15.75">
      <c r="A252" s="854"/>
      <c r="B252" s="854"/>
      <c r="C252" s="854"/>
      <c r="D252" s="855"/>
      <c r="E252" s="855"/>
      <c r="F252" s="855"/>
      <c r="G252" s="855"/>
      <c r="H252" s="855"/>
      <c r="I252" s="855"/>
      <c r="J252" s="855"/>
      <c r="K252" s="855"/>
      <c r="L252" s="855"/>
      <c r="M252" s="855"/>
      <c r="N252" s="855"/>
      <c r="O252" s="855"/>
      <c r="P252" s="855"/>
      <c r="Q252" s="855"/>
      <c r="R252" s="855"/>
      <c r="S252" s="855"/>
      <c r="T252" s="855"/>
      <c r="U252" s="855"/>
      <c r="V252" s="855"/>
      <c r="W252" s="855"/>
      <c r="X252" s="855"/>
      <c r="Y252" s="855"/>
      <c r="Z252" s="855"/>
      <c r="AA252" s="855"/>
      <c r="AB252" s="855"/>
    </row>
    <row r="253" spans="1:28" ht="15.75">
      <c r="A253" s="854"/>
      <c r="B253" s="854"/>
      <c r="C253" s="854"/>
      <c r="D253" s="855"/>
      <c r="E253" s="855"/>
      <c r="F253" s="855"/>
      <c r="G253" s="855"/>
      <c r="H253" s="855"/>
      <c r="I253" s="855"/>
      <c r="J253" s="855"/>
      <c r="K253" s="855"/>
      <c r="L253" s="855"/>
      <c r="M253" s="855"/>
      <c r="N253" s="855"/>
      <c r="O253" s="855"/>
      <c r="P253" s="855"/>
      <c r="Q253" s="855"/>
      <c r="R253" s="855"/>
      <c r="S253" s="855"/>
      <c r="T253" s="855"/>
      <c r="U253" s="855"/>
      <c r="V253" s="855"/>
      <c r="W253" s="855"/>
      <c r="X253" s="855"/>
      <c r="Y253" s="855"/>
      <c r="Z253" s="855"/>
      <c r="AA253" s="855"/>
      <c r="AB253" s="855"/>
    </row>
    <row r="254" spans="1:28" ht="15.75">
      <c r="A254" s="854"/>
      <c r="B254" s="854"/>
      <c r="C254" s="854"/>
      <c r="D254" s="855"/>
      <c r="E254" s="855"/>
      <c r="F254" s="855"/>
      <c r="G254" s="855"/>
      <c r="H254" s="855"/>
      <c r="I254" s="855"/>
      <c r="J254" s="855"/>
      <c r="K254" s="855"/>
      <c r="L254" s="855"/>
      <c r="M254" s="855"/>
      <c r="N254" s="855"/>
      <c r="O254" s="855"/>
      <c r="P254" s="855"/>
      <c r="Q254" s="855"/>
      <c r="R254" s="855"/>
      <c r="S254" s="855"/>
      <c r="T254" s="855"/>
      <c r="U254" s="855"/>
      <c r="V254" s="855"/>
      <c r="W254" s="855"/>
      <c r="X254" s="855"/>
      <c r="Y254" s="855"/>
      <c r="Z254" s="855"/>
      <c r="AA254" s="855"/>
      <c r="AB254" s="855"/>
    </row>
    <row r="255" spans="1:28" ht="15.75">
      <c r="A255" s="854"/>
      <c r="B255" s="854"/>
      <c r="C255" s="854"/>
      <c r="D255" s="855"/>
      <c r="E255" s="855"/>
      <c r="F255" s="855"/>
      <c r="G255" s="855"/>
      <c r="H255" s="855"/>
      <c r="I255" s="855"/>
      <c r="J255" s="855"/>
      <c r="K255" s="855"/>
      <c r="L255" s="855"/>
      <c r="M255" s="855"/>
      <c r="N255" s="855"/>
      <c r="O255" s="855"/>
      <c r="P255" s="855"/>
      <c r="Q255" s="855"/>
      <c r="R255" s="855"/>
      <c r="S255" s="855"/>
      <c r="T255" s="855"/>
      <c r="U255" s="855"/>
      <c r="V255" s="855"/>
      <c r="W255" s="855"/>
      <c r="X255" s="855"/>
      <c r="Y255" s="855"/>
      <c r="Z255" s="855"/>
      <c r="AA255" s="855"/>
      <c r="AB255" s="855"/>
    </row>
    <row r="256" spans="1:28" ht="15.75">
      <c r="A256" s="854"/>
      <c r="B256" s="854"/>
      <c r="C256" s="854"/>
      <c r="D256" s="855"/>
      <c r="E256" s="855"/>
      <c r="F256" s="855"/>
      <c r="G256" s="855"/>
      <c r="H256" s="855"/>
      <c r="I256" s="855"/>
      <c r="J256" s="855"/>
      <c r="K256" s="855"/>
      <c r="L256" s="855"/>
      <c r="M256" s="855"/>
      <c r="N256" s="855"/>
      <c r="O256" s="855"/>
      <c r="P256" s="855"/>
      <c r="Q256" s="855"/>
      <c r="R256" s="855"/>
      <c r="S256" s="855"/>
      <c r="T256" s="855"/>
      <c r="U256" s="855"/>
      <c r="V256" s="855"/>
      <c r="W256" s="855"/>
      <c r="X256" s="855"/>
      <c r="Y256" s="855"/>
      <c r="Z256" s="855"/>
      <c r="AA256" s="855"/>
      <c r="AB256" s="855"/>
    </row>
    <row r="257" spans="1:28" ht="15.75">
      <c r="A257" s="854"/>
      <c r="B257" s="854"/>
      <c r="C257" s="854"/>
      <c r="D257" s="855"/>
      <c r="E257" s="855"/>
      <c r="F257" s="855"/>
      <c r="G257" s="855"/>
      <c r="H257" s="855"/>
      <c r="I257" s="855"/>
      <c r="J257" s="855"/>
      <c r="K257" s="855"/>
      <c r="L257" s="855"/>
      <c r="M257" s="855"/>
      <c r="N257" s="855"/>
      <c r="O257" s="855"/>
      <c r="P257" s="855"/>
      <c r="Q257" s="855"/>
      <c r="R257" s="855"/>
      <c r="S257" s="855"/>
      <c r="T257" s="855"/>
      <c r="U257" s="855"/>
      <c r="V257" s="855"/>
      <c r="W257" s="855"/>
      <c r="X257" s="855"/>
      <c r="Y257" s="855"/>
      <c r="Z257" s="855"/>
      <c r="AA257" s="855"/>
      <c r="AB257" s="855"/>
    </row>
    <row r="258" spans="1:28" ht="15.75">
      <c r="A258" s="854"/>
      <c r="B258" s="854"/>
      <c r="C258" s="854"/>
      <c r="D258" s="855"/>
      <c r="E258" s="855"/>
      <c r="F258" s="855"/>
      <c r="G258" s="855"/>
      <c r="H258" s="855"/>
      <c r="I258" s="855"/>
      <c r="J258" s="855"/>
      <c r="K258" s="855"/>
      <c r="L258" s="855"/>
      <c r="M258" s="855"/>
      <c r="N258" s="855"/>
      <c r="O258" s="855"/>
      <c r="P258" s="855"/>
      <c r="Q258" s="855"/>
      <c r="R258" s="855"/>
      <c r="S258" s="855"/>
      <c r="T258" s="855"/>
      <c r="U258" s="855"/>
      <c r="V258" s="855"/>
      <c r="W258" s="855"/>
      <c r="X258" s="855"/>
      <c r="Y258" s="855"/>
      <c r="Z258" s="855"/>
      <c r="AA258" s="855"/>
      <c r="AB258" s="855"/>
    </row>
    <row r="259" spans="1:28" ht="15.75">
      <c r="A259" s="854"/>
      <c r="B259" s="854"/>
      <c r="C259" s="854"/>
      <c r="D259" s="855"/>
      <c r="E259" s="855"/>
      <c r="F259" s="855"/>
      <c r="G259" s="855"/>
      <c r="H259" s="855"/>
      <c r="I259" s="855"/>
      <c r="J259" s="855"/>
      <c r="K259" s="855"/>
      <c r="L259" s="855"/>
      <c r="M259" s="855"/>
      <c r="N259" s="855"/>
      <c r="O259" s="855"/>
      <c r="P259" s="855"/>
      <c r="Q259" s="855"/>
      <c r="R259" s="855"/>
      <c r="S259" s="855"/>
      <c r="T259" s="855"/>
      <c r="U259" s="855"/>
      <c r="V259" s="855"/>
      <c r="W259" s="855"/>
      <c r="X259" s="855"/>
      <c r="Y259" s="855"/>
      <c r="Z259" s="855"/>
      <c r="AA259" s="855"/>
      <c r="AB259" s="855"/>
    </row>
    <row r="260" spans="1:28" ht="15.75">
      <c r="A260" s="854"/>
      <c r="B260" s="854"/>
      <c r="C260" s="854"/>
      <c r="D260" s="855"/>
      <c r="E260" s="855"/>
      <c r="F260" s="855"/>
      <c r="G260" s="855"/>
      <c r="H260" s="855"/>
      <c r="I260" s="855"/>
      <c r="J260" s="855"/>
      <c r="K260" s="855"/>
      <c r="L260" s="855"/>
      <c r="M260" s="855"/>
      <c r="N260" s="855"/>
      <c r="O260" s="855"/>
      <c r="P260" s="855"/>
      <c r="Q260" s="855"/>
      <c r="R260" s="855"/>
      <c r="S260" s="855"/>
      <c r="T260" s="855"/>
      <c r="U260" s="855"/>
      <c r="V260" s="855"/>
      <c r="W260" s="855"/>
      <c r="X260" s="855"/>
      <c r="Y260" s="855"/>
      <c r="Z260" s="855"/>
      <c r="AA260" s="855"/>
      <c r="AB260" s="855"/>
    </row>
    <row r="261" spans="1:28" ht="15.75">
      <c r="A261" s="854"/>
      <c r="B261" s="854"/>
      <c r="C261" s="854"/>
      <c r="D261" s="855"/>
      <c r="E261" s="855"/>
      <c r="F261" s="855"/>
      <c r="G261" s="855"/>
      <c r="H261" s="855"/>
      <c r="I261" s="855"/>
      <c r="J261" s="855"/>
      <c r="K261" s="855"/>
      <c r="L261" s="855"/>
      <c r="M261" s="855"/>
      <c r="N261" s="855"/>
      <c r="O261" s="855"/>
      <c r="P261" s="855"/>
      <c r="Q261" s="855"/>
      <c r="R261" s="855"/>
      <c r="S261" s="855"/>
      <c r="T261" s="855"/>
      <c r="U261" s="855"/>
      <c r="V261" s="855"/>
      <c r="W261" s="855"/>
      <c r="X261" s="855"/>
      <c r="Y261" s="855"/>
      <c r="Z261" s="855"/>
      <c r="AA261" s="855"/>
      <c r="AB261" s="855"/>
    </row>
    <row r="262" spans="1:28" ht="15.75">
      <c r="A262" s="854"/>
      <c r="B262" s="854"/>
      <c r="C262" s="854"/>
      <c r="D262" s="855"/>
      <c r="E262" s="855"/>
      <c r="F262" s="855"/>
      <c r="G262" s="855"/>
      <c r="H262" s="855"/>
      <c r="I262" s="855"/>
      <c r="J262" s="855"/>
      <c r="K262" s="855"/>
      <c r="L262" s="855"/>
      <c r="M262" s="855"/>
      <c r="N262" s="855"/>
      <c r="O262" s="855"/>
      <c r="P262" s="855"/>
      <c r="Q262" s="855"/>
      <c r="R262" s="855"/>
      <c r="S262" s="855"/>
      <c r="T262" s="855"/>
      <c r="U262" s="855"/>
      <c r="V262" s="855"/>
      <c r="W262" s="855"/>
      <c r="X262" s="855"/>
      <c r="Y262" s="855"/>
      <c r="Z262" s="855"/>
      <c r="AA262" s="855"/>
      <c r="AB262" s="855"/>
    </row>
    <row r="263" spans="1:28" ht="15.75">
      <c r="A263" s="854"/>
      <c r="B263" s="854"/>
      <c r="C263" s="854"/>
      <c r="D263" s="855"/>
      <c r="E263" s="855"/>
      <c r="F263" s="855"/>
      <c r="G263" s="855"/>
      <c r="H263" s="855"/>
      <c r="I263" s="855"/>
      <c r="J263" s="855"/>
      <c r="K263" s="855"/>
      <c r="L263" s="855"/>
      <c r="M263" s="855"/>
      <c r="N263" s="855"/>
      <c r="O263" s="855"/>
      <c r="P263" s="855"/>
      <c r="Q263" s="855"/>
      <c r="R263" s="855"/>
      <c r="S263" s="855"/>
      <c r="T263" s="855"/>
      <c r="U263" s="855"/>
      <c r="V263" s="855"/>
      <c r="W263" s="855"/>
      <c r="X263" s="855"/>
      <c r="Y263" s="855"/>
      <c r="Z263" s="855"/>
      <c r="AA263" s="855"/>
      <c r="AB263" s="855"/>
    </row>
    <row r="264" spans="1:28" ht="15.75">
      <c r="A264" s="854"/>
      <c r="B264" s="854"/>
      <c r="C264" s="854"/>
      <c r="D264" s="855"/>
      <c r="E264" s="855"/>
      <c r="F264" s="855"/>
      <c r="G264" s="855"/>
      <c r="H264" s="855"/>
      <c r="I264" s="855"/>
      <c r="J264" s="855"/>
      <c r="K264" s="855"/>
      <c r="L264" s="855"/>
      <c r="M264" s="855"/>
      <c r="N264" s="855"/>
      <c r="O264" s="855"/>
      <c r="P264" s="855"/>
      <c r="Q264" s="855"/>
      <c r="R264" s="855"/>
      <c r="S264" s="855"/>
      <c r="T264" s="855"/>
      <c r="U264" s="855"/>
      <c r="V264" s="855"/>
      <c r="W264" s="855"/>
      <c r="X264" s="855"/>
      <c r="Y264" s="855"/>
      <c r="Z264" s="855"/>
      <c r="AA264" s="855"/>
      <c r="AB264" s="855"/>
    </row>
    <row r="265" spans="1:28" ht="15.75">
      <c r="A265" s="854"/>
      <c r="B265" s="854"/>
      <c r="C265" s="854"/>
      <c r="D265" s="855"/>
      <c r="E265" s="855"/>
      <c r="F265" s="855"/>
      <c r="G265" s="855"/>
      <c r="H265" s="855"/>
      <c r="I265" s="855"/>
      <c r="J265" s="855"/>
      <c r="K265" s="855"/>
      <c r="L265" s="855"/>
      <c r="M265" s="855"/>
      <c r="N265" s="855"/>
      <c r="O265" s="855"/>
      <c r="P265" s="855"/>
      <c r="Q265" s="855"/>
      <c r="R265" s="855"/>
      <c r="S265" s="855"/>
      <c r="T265" s="855"/>
      <c r="U265" s="855"/>
      <c r="V265" s="855"/>
      <c r="W265" s="855"/>
      <c r="X265" s="855"/>
      <c r="Y265" s="855"/>
      <c r="Z265" s="855"/>
      <c r="AA265" s="855"/>
      <c r="AB265" s="855"/>
    </row>
    <row r="266" spans="1:28" ht="15.75">
      <c r="A266" s="854"/>
      <c r="B266" s="854"/>
      <c r="C266" s="854"/>
      <c r="D266" s="855"/>
      <c r="E266" s="855"/>
      <c r="F266" s="855"/>
      <c r="G266" s="855"/>
      <c r="H266" s="855"/>
      <c r="I266" s="855"/>
      <c r="J266" s="855"/>
      <c r="K266" s="855"/>
      <c r="L266" s="855"/>
      <c r="M266" s="855"/>
      <c r="N266" s="855"/>
      <c r="O266" s="855"/>
      <c r="P266" s="855"/>
      <c r="Q266" s="855"/>
      <c r="R266" s="855"/>
      <c r="S266" s="855"/>
      <c r="T266" s="855"/>
      <c r="U266" s="855"/>
      <c r="V266" s="855"/>
      <c r="W266" s="855"/>
      <c r="X266" s="855"/>
      <c r="Y266" s="855"/>
      <c r="Z266" s="855"/>
      <c r="AA266" s="855"/>
      <c r="AB266" s="855"/>
    </row>
    <row r="267" spans="1:28" ht="15.75">
      <c r="A267" s="854"/>
      <c r="B267" s="854"/>
      <c r="C267" s="854"/>
      <c r="D267" s="855"/>
      <c r="E267" s="855"/>
      <c r="F267" s="855"/>
      <c r="G267" s="855"/>
      <c r="H267" s="855"/>
      <c r="I267" s="855"/>
      <c r="J267" s="855"/>
      <c r="K267" s="855"/>
      <c r="L267" s="855"/>
      <c r="M267" s="855"/>
      <c r="N267" s="855"/>
      <c r="O267" s="855"/>
      <c r="P267" s="855"/>
      <c r="Q267" s="855"/>
      <c r="R267" s="855"/>
      <c r="S267" s="855"/>
      <c r="T267" s="855"/>
      <c r="U267" s="855"/>
      <c r="V267" s="855"/>
      <c r="W267" s="855"/>
      <c r="X267" s="855"/>
      <c r="Y267" s="855"/>
      <c r="Z267" s="855"/>
      <c r="AA267" s="855"/>
      <c r="AB267" s="855"/>
    </row>
    <row r="268" spans="1:28" ht="15.75">
      <c r="A268" s="854"/>
      <c r="B268" s="854"/>
      <c r="C268" s="854"/>
      <c r="D268" s="855"/>
      <c r="E268" s="855"/>
      <c r="F268" s="855"/>
      <c r="G268" s="855"/>
      <c r="H268" s="855"/>
      <c r="I268" s="855"/>
      <c r="J268" s="855"/>
      <c r="K268" s="855"/>
      <c r="L268" s="855"/>
      <c r="M268" s="855"/>
      <c r="N268" s="855"/>
      <c r="O268" s="855"/>
      <c r="P268" s="855"/>
      <c r="Q268" s="855"/>
      <c r="R268" s="855"/>
      <c r="S268" s="855"/>
      <c r="T268" s="855"/>
      <c r="U268" s="855"/>
      <c r="V268" s="855"/>
      <c r="W268" s="855"/>
      <c r="X268" s="855"/>
      <c r="Y268" s="855"/>
      <c r="Z268" s="855"/>
      <c r="AA268" s="855"/>
      <c r="AB268" s="855"/>
    </row>
    <row r="269" spans="1:28" ht="15.75">
      <c r="A269" s="854"/>
      <c r="B269" s="854"/>
      <c r="C269" s="854"/>
      <c r="D269" s="855"/>
      <c r="E269" s="855"/>
      <c r="F269" s="855"/>
      <c r="G269" s="855"/>
      <c r="H269" s="855"/>
      <c r="I269" s="855"/>
      <c r="J269" s="855"/>
      <c r="K269" s="855"/>
      <c r="L269" s="855"/>
      <c r="M269" s="855"/>
      <c r="N269" s="855"/>
      <c r="O269" s="855"/>
      <c r="P269" s="855"/>
      <c r="Q269" s="855"/>
      <c r="R269" s="855"/>
      <c r="S269" s="855"/>
      <c r="T269" s="855"/>
      <c r="U269" s="855"/>
      <c r="V269" s="855"/>
      <c r="W269" s="855"/>
      <c r="X269" s="855"/>
      <c r="Y269" s="855"/>
      <c r="Z269" s="855"/>
      <c r="AA269" s="855"/>
      <c r="AB269" s="855"/>
    </row>
    <row r="270" spans="1:28" ht="15.75">
      <c r="A270" s="854"/>
      <c r="B270" s="854"/>
      <c r="C270" s="854"/>
      <c r="D270" s="855"/>
      <c r="E270" s="855"/>
      <c r="F270" s="855"/>
      <c r="G270" s="855"/>
      <c r="H270" s="855"/>
      <c r="I270" s="855"/>
      <c r="J270" s="855"/>
      <c r="K270" s="855"/>
      <c r="L270" s="855"/>
      <c r="M270" s="855"/>
      <c r="N270" s="855"/>
      <c r="O270" s="855"/>
      <c r="P270" s="855"/>
      <c r="Q270" s="855"/>
      <c r="R270" s="855"/>
      <c r="S270" s="855"/>
      <c r="T270" s="855"/>
      <c r="U270" s="855"/>
      <c r="V270" s="855"/>
      <c r="W270" s="855"/>
      <c r="X270" s="855"/>
      <c r="Y270" s="855"/>
      <c r="Z270" s="855"/>
      <c r="AA270" s="855"/>
      <c r="AB270" s="855"/>
    </row>
    <row r="271" spans="1:28" ht="15.75">
      <c r="A271" s="854"/>
      <c r="B271" s="854"/>
      <c r="C271" s="854"/>
      <c r="D271" s="855"/>
      <c r="E271" s="855"/>
      <c r="F271" s="855"/>
      <c r="G271" s="855"/>
      <c r="H271" s="855"/>
      <c r="I271" s="855"/>
      <c r="J271" s="855"/>
      <c r="K271" s="855"/>
      <c r="L271" s="855"/>
      <c r="M271" s="855"/>
      <c r="N271" s="855"/>
      <c r="O271" s="855"/>
      <c r="P271" s="855"/>
      <c r="Q271" s="855"/>
      <c r="R271" s="855"/>
      <c r="S271" s="855"/>
      <c r="T271" s="855"/>
      <c r="U271" s="855"/>
      <c r="V271" s="855"/>
      <c r="W271" s="855"/>
      <c r="X271" s="855"/>
      <c r="Y271" s="855"/>
      <c r="Z271" s="855"/>
      <c r="AA271" s="855"/>
      <c r="AB271" s="855"/>
    </row>
    <row r="272" spans="1:28" ht="15.75">
      <c r="A272" s="854"/>
      <c r="B272" s="854"/>
      <c r="C272" s="854"/>
      <c r="D272" s="855"/>
      <c r="E272" s="855"/>
      <c r="F272" s="855"/>
      <c r="G272" s="855"/>
      <c r="H272" s="855"/>
      <c r="I272" s="855"/>
      <c r="J272" s="855"/>
      <c r="K272" s="855"/>
      <c r="L272" s="855"/>
      <c r="M272" s="855"/>
      <c r="N272" s="855"/>
      <c r="O272" s="855"/>
      <c r="P272" s="855"/>
      <c r="Q272" s="855"/>
      <c r="R272" s="855"/>
      <c r="S272" s="855"/>
      <c r="T272" s="855"/>
      <c r="U272" s="855"/>
      <c r="V272" s="855"/>
      <c r="W272" s="855"/>
      <c r="X272" s="855"/>
      <c r="Y272" s="855"/>
      <c r="Z272" s="855"/>
      <c r="AA272" s="855"/>
      <c r="AB272" s="855"/>
    </row>
    <row r="273" spans="1:28" ht="15.75">
      <c r="A273" s="854"/>
      <c r="B273" s="854"/>
      <c r="C273" s="854"/>
      <c r="D273" s="855"/>
      <c r="E273" s="855"/>
      <c r="F273" s="855"/>
      <c r="G273" s="855"/>
      <c r="H273" s="855"/>
      <c r="I273" s="855"/>
      <c r="J273" s="855"/>
      <c r="K273" s="855"/>
      <c r="L273" s="855"/>
      <c r="M273" s="855"/>
      <c r="N273" s="855"/>
      <c r="O273" s="855"/>
      <c r="P273" s="855"/>
      <c r="Q273" s="855"/>
      <c r="R273" s="855"/>
      <c r="S273" s="855"/>
      <c r="T273" s="855"/>
      <c r="U273" s="855"/>
      <c r="V273" s="855"/>
      <c r="W273" s="855"/>
      <c r="X273" s="855"/>
      <c r="Y273" s="855"/>
      <c r="Z273" s="855"/>
      <c r="AA273" s="855"/>
      <c r="AB273" s="855"/>
    </row>
    <row r="274" spans="1:28" ht="15.75">
      <c r="A274" s="854"/>
      <c r="B274" s="854"/>
      <c r="C274" s="854"/>
      <c r="D274" s="855"/>
      <c r="E274" s="855"/>
      <c r="F274" s="855"/>
      <c r="G274" s="855"/>
      <c r="H274" s="855"/>
      <c r="I274" s="855"/>
      <c r="J274" s="855"/>
      <c r="K274" s="855"/>
      <c r="L274" s="855"/>
      <c r="M274" s="855"/>
      <c r="N274" s="855"/>
      <c r="O274" s="855"/>
      <c r="P274" s="855"/>
      <c r="Q274" s="855"/>
      <c r="R274" s="855"/>
      <c r="S274" s="855"/>
      <c r="T274" s="855"/>
      <c r="U274" s="855"/>
      <c r="V274" s="855"/>
      <c r="W274" s="855"/>
      <c r="X274" s="855"/>
      <c r="Y274" s="855"/>
      <c r="Z274" s="855"/>
      <c r="AA274" s="855"/>
      <c r="AB274" s="855"/>
    </row>
    <row r="275" spans="1:28" ht="15.75">
      <c r="A275" s="854"/>
      <c r="B275" s="854"/>
      <c r="C275" s="854"/>
      <c r="D275" s="855"/>
      <c r="E275" s="855"/>
      <c r="F275" s="855"/>
      <c r="G275" s="855"/>
      <c r="H275" s="855"/>
      <c r="I275" s="855"/>
      <c r="J275" s="855"/>
      <c r="K275" s="855"/>
      <c r="L275" s="855"/>
      <c r="M275" s="855"/>
      <c r="N275" s="855"/>
      <c r="O275" s="855"/>
      <c r="P275" s="855"/>
      <c r="Q275" s="855"/>
      <c r="R275" s="855"/>
      <c r="S275" s="855"/>
      <c r="T275" s="855"/>
      <c r="U275" s="855"/>
      <c r="V275" s="855"/>
      <c r="W275" s="855"/>
      <c r="X275" s="855"/>
      <c r="Y275" s="855"/>
      <c r="Z275" s="855"/>
      <c r="AA275" s="855"/>
      <c r="AB275" s="855"/>
    </row>
    <row r="276" spans="1:28" ht="15.75">
      <c r="A276" s="854"/>
      <c r="B276" s="854"/>
      <c r="C276" s="854"/>
      <c r="D276" s="855"/>
      <c r="E276" s="855"/>
      <c r="F276" s="855"/>
      <c r="G276" s="855"/>
      <c r="H276" s="855"/>
      <c r="I276" s="855"/>
      <c r="J276" s="855"/>
      <c r="K276" s="855"/>
      <c r="L276" s="855"/>
      <c r="M276" s="855"/>
      <c r="N276" s="855"/>
      <c r="O276" s="855"/>
      <c r="P276" s="855"/>
      <c r="Q276" s="855"/>
      <c r="R276" s="855"/>
      <c r="S276" s="855"/>
      <c r="T276" s="855"/>
      <c r="U276" s="855"/>
      <c r="V276" s="855"/>
      <c r="W276" s="855"/>
      <c r="X276" s="855"/>
      <c r="Y276" s="855"/>
      <c r="Z276" s="855"/>
      <c r="AA276" s="855"/>
      <c r="AB276" s="855"/>
    </row>
    <row r="277" spans="1:28" ht="15.75">
      <c r="A277" s="854"/>
      <c r="B277" s="854"/>
      <c r="C277" s="854"/>
      <c r="D277" s="855"/>
      <c r="E277" s="855"/>
      <c r="F277" s="855"/>
      <c r="G277" s="855"/>
      <c r="H277" s="855"/>
      <c r="I277" s="855"/>
      <c r="J277" s="855"/>
      <c r="K277" s="855"/>
      <c r="L277" s="855"/>
      <c r="M277" s="855"/>
      <c r="N277" s="855"/>
      <c r="O277" s="855"/>
      <c r="P277" s="855"/>
      <c r="Q277" s="855"/>
      <c r="R277" s="855"/>
      <c r="S277" s="855"/>
      <c r="T277" s="855"/>
      <c r="U277" s="855"/>
      <c r="V277" s="855"/>
      <c r="W277" s="855"/>
      <c r="X277" s="855"/>
      <c r="Y277" s="855"/>
      <c r="Z277" s="855"/>
      <c r="AA277" s="855"/>
      <c r="AB277" s="855"/>
    </row>
    <row r="278" spans="1:28" ht="15.75">
      <c r="A278" s="854"/>
      <c r="B278" s="854"/>
      <c r="C278" s="854"/>
      <c r="D278" s="855"/>
      <c r="E278" s="855"/>
      <c r="F278" s="855"/>
      <c r="G278" s="855"/>
      <c r="H278" s="855"/>
      <c r="I278" s="855"/>
      <c r="J278" s="855"/>
      <c r="K278" s="855"/>
      <c r="L278" s="855"/>
      <c r="M278" s="855"/>
      <c r="N278" s="855"/>
      <c r="O278" s="855"/>
      <c r="P278" s="855"/>
      <c r="Q278" s="855"/>
      <c r="R278" s="855"/>
      <c r="S278" s="855"/>
      <c r="T278" s="855"/>
      <c r="U278" s="855"/>
      <c r="V278" s="855"/>
      <c r="W278" s="855"/>
      <c r="X278" s="855"/>
      <c r="Y278" s="855"/>
      <c r="Z278" s="855"/>
      <c r="AA278" s="855"/>
      <c r="AB278" s="855"/>
    </row>
    <row r="279" spans="1:28" ht="15.75">
      <c r="A279" s="854"/>
      <c r="B279" s="854"/>
      <c r="C279" s="854"/>
      <c r="D279" s="855"/>
      <c r="E279" s="855"/>
      <c r="F279" s="855"/>
      <c r="G279" s="855"/>
      <c r="H279" s="855"/>
      <c r="I279" s="855"/>
      <c r="J279" s="855"/>
      <c r="K279" s="855"/>
      <c r="L279" s="855"/>
      <c r="M279" s="855"/>
      <c r="N279" s="855"/>
      <c r="O279" s="855"/>
      <c r="P279" s="855"/>
      <c r="Q279" s="855"/>
      <c r="R279" s="855"/>
      <c r="S279" s="855"/>
      <c r="T279" s="855"/>
      <c r="U279" s="855"/>
      <c r="V279" s="855"/>
      <c r="W279" s="855"/>
      <c r="X279" s="855"/>
      <c r="Y279" s="855"/>
      <c r="Z279" s="855"/>
      <c r="AA279" s="855"/>
      <c r="AB279" s="855"/>
    </row>
    <row r="280" spans="1:28" ht="15.75">
      <c r="A280" s="854"/>
      <c r="B280" s="854"/>
      <c r="C280" s="854"/>
      <c r="D280" s="855"/>
      <c r="E280" s="855"/>
      <c r="F280" s="855"/>
      <c r="G280" s="855"/>
      <c r="H280" s="855"/>
      <c r="I280" s="855"/>
      <c r="J280" s="855"/>
      <c r="K280" s="855"/>
      <c r="L280" s="855"/>
      <c r="M280" s="855"/>
      <c r="N280" s="855"/>
      <c r="O280" s="855"/>
      <c r="P280" s="855"/>
      <c r="Q280" s="855"/>
      <c r="R280" s="855"/>
      <c r="S280" s="855"/>
      <c r="T280" s="855"/>
      <c r="U280" s="855"/>
      <c r="V280" s="855"/>
      <c r="W280" s="855"/>
      <c r="X280" s="855"/>
      <c r="Y280" s="855"/>
      <c r="Z280" s="855"/>
      <c r="AA280" s="855"/>
      <c r="AB280" s="855"/>
    </row>
    <row r="281" spans="1:28" ht="15.75">
      <c r="A281" s="854"/>
      <c r="B281" s="854"/>
      <c r="C281" s="854"/>
      <c r="D281" s="855"/>
      <c r="E281" s="855"/>
      <c r="F281" s="855"/>
      <c r="G281" s="855"/>
      <c r="H281" s="855"/>
      <c r="I281" s="855"/>
      <c r="J281" s="855"/>
      <c r="K281" s="855"/>
      <c r="L281" s="855"/>
      <c r="M281" s="855"/>
      <c r="N281" s="855"/>
      <c r="O281" s="855"/>
      <c r="P281" s="855"/>
      <c r="Q281" s="855"/>
      <c r="R281" s="855"/>
      <c r="S281" s="855"/>
      <c r="T281" s="855"/>
      <c r="U281" s="855"/>
      <c r="V281" s="855"/>
      <c r="W281" s="855"/>
      <c r="X281" s="855"/>
      <c r="Y281" s="855"/>
      <c r="Z281" s="855"/>
      <c r="AA281" s="855"/>
      <c r="AB281" s="855"/>
    </row>
    <row r="282" spans="1:28" ht="15.75">
      <c r="A282" s="854"/>
      <c r="B282" s="854"/>
      <c r="C282" s="854"/>
      <c r="D282" s="855"/>
      <c r="E282" s="855"/>
      <c r="F282" s="855"/>
      <c r="G282" s="855"/>
      <c r="H282" s="855"/>
      <c r="I282" s="855"/>
      <c r="J282" s="855"/>
      <c r="K282" s="855"/>
      <c r="L282" s="855"/>
      <c r="M282" s="855"/>
      <c r="N282" s="855"/>
      <c r="O282" s="855"/>
      <c r="P282" s="855"/>
      <c r="Q282" s="855"/>
      <c r="R282" s="855"/>
      <c r="S282" s="855"/>
      <c r="T282" s="855"/>
      <c r="U282" s="855"/>
      <c r="V282" s="855"/>
      <c r="W282" s="855"/>
      <c r="X282" s="855"/>
      <c r="Y282" s="855"/>
      <c r="Z282" s="855"/>
      <c r="AA282" s="855"/>
      <c r="AB282" s="855"/>
    </row>
    <row r="283" spans="1:28" ht="15.75">
      <c r="A283" s="854"/>
      <c r="B283" s="854"/>
      <c r="C283" s="854"/>
      <c r="D283" s="855"/>
      <c r="E283" s="855"/>
      <c r="F283" s="855"/>
      <c r="G283" s="855"/>
      <c r="H283" s="855"/>
      <c r="I283" s="855"/>
      <c r="J283" s="855"/>
      <c r="K283" s="855"/>
      <c r="L283" s="855"/>
      <c r="M283" s="855"/>
      <c r="N283" s="855"/>
      <c r="O283" s="855"/>
      <c r="P283" s="855"/>
      <c r="Q283" s="855"/>
      <c r="R283" s="855"/>
      <c r="S283" s="855"/>
      <c r="T283" s="855"/>
      <c r="U283" s="855"/>
      <c r="V283" s="855"/>
      <c r="W283" s="855"/>
      <c r="X283" s="855"/>
      <c r="Y283" s="855"/>
      <c r="Z283" s="855"/>
      <c r="AA283" s="855"/>
      <c r="AB283" s="855"/>
    </row>
    <row r="284" spans="1:28" ht="15.75">
      <c r="A284" s="854"/>
      <c r="B284" s="854"/>
      <c r="C284" s="854"/>
      <c r="D284" s="855"/>
      <c r="E284" s="855"/>
      <c r="F284" s="855"/>
      <c r="G284" s="855"/>
      <c r="H284" s="855"/>
      <c r="I284" s="855"/>
      <c r="J284" s="855"/>
      <c r="K284" s="855"/>
      <c r="L284" s="855"/>
      <c r="M284" s="855"/>
      <c r="N284" s="855"/>
      <c r="O284" s="855"/>
      <c r="P284" s="855"/>
      <c r="Q284" s="855"/>
      <c r="R284" s="855"/>
      <c r="S284" s="855"/>
      <c r="T284" s="855"/>
      <c r="U284" s="855"/>
      <c r="V284" s="855"/>
      <c r="W284" s="855"/>
      <c r="X284" s="855"/>
      <c r="Y284" s="855"/>
      <c r="Z284" s="855"/>
      <c r="AA284" s="855"/>
      <c r="AB284" s="855"/>
    </row>
    <row r="285" spans="1:28" ht="15.75">
      <c r="A285" s="854"/>
      <c r="B285" s="854"/>
      <c r="C285" s="854"/>
      <c r="D285" s="855"/>
      <c r="E285" s="855"/>
      <c r="F285" s="855"/>
      <c r="G285" s="855"/>
      <c r="H285" s="855"/>
      <c r="I285" s="855"/>
      <c r="J285" s="855"/>
      <c r="K285" s="855"/>
      <c r="L285" s="855"/>
      <c r="M285" s="855"/>
      <c r="N285" s="855"/>
      <c r="O285" s="855"/>
      <c r="P285" s="855"/>
      <c r="Q285" s="855"/>
      <c r="R285" s="855"/>
      <c r="S285" s="855"/>
      <c r="T285" s="855"/>
      <c r="U285" s="855"/>
      <c r="V285" s="855"/>
      <c r="W285" s="855"/>
      <c r="X285" s="855"/>
      <c r="Y285" s="855"/>
      <c r="Z285" s="855"/>
      <c r="AA285" s="855"/>
      <c r="AB285" s="855"/>
    </row>
    <row r="286" spans="1:28" ht="15.75">
      <c r="A286" s="854"/>
      <c r="B286" s="854"/>
      <c r="C286" s="854"/>
      <c r="D286" s="855"/>
      <c r="E286" s="855"/>
      <c r="F286" s="855"/>
      <c r="G286" s="855"/>
      <c r="H286" s="855"/>
      <c r="I286" s="855"/>
      <c r="J286" s="855"/>
      <c r="K286" s="855"/>
      <c r="L286" s="855"/>
      <c r="M286" s="855"/>
      <c r="N286" s="855"/>
      <c r="O286" s="855"/>
      <c r="P286" s="855"/>
      <c r="Q286" s="855"/>
      <c r="R286" s="855"/>
      <c r="S286" s="855"/>
      <c r="T286" s="855"/>
      <c r="U286" s="855"/>
      <c r="V286" s="855"/>
      <c r="W286" s="855"/>
      <c r="X286" s="855"/>
      <c r="Y286" s="855"/>
      <c r="Z286" s="855"/>
      <c r="AA286" s="855"/>
      <c r="AB286" s="855"/>
    </row>
    <row r="287" spans="1:28" ht="15.75">
      <c r="A287" s="854"/>
      <c r="B287" s="854"/>
      <c r="C287" s="854"/>
      <c r="D287" s="855"/>
      <c r="E287" s="855"/>
      <c r="F287" s="855"/>
      <c r="G287" s="855"/>
      <c r="H287" s="855"/>
      <c r="I287" s="855"/>
      <c r="J287" s="855"/>
      <c r="K287" s="855"/>
      <c r="L287" s="855"/>
      <c r="M287" s="855"/>
      <c r="N287" s="855"/>
      <c r="O287" s="855"/>
      <c r="P287" s="855"/>
      <c r="Q287" s="855"/>
      <c r="R287" s="855"/>
      <c r="S287" s="855"/>
      <c r="T287" s="855"/>
      <c r="U287" s="855"/>
      <c r="V287" s="855"/>
      <c r="W287" s="855"/>
      <c r="X287" s="855"/>
      <c r="Y287" s="855"/>
      <c r="Z287" s="855"/>
      <c r="AA287" s="855"/>
      <c r="AB287" s="855"/>
    </row>
    <row r="288" spans="1:28" ht="15.75">
      <c r="A288" s="854"/>
      <c r="B288" s="854"/>
      <c r="C288" s="854"/>
      <c r="D288" s="855"/>
      <c r="E288" s="855"/>
      <c r="F288" s="855"/>
      <c r="G288" s="855"/>
      <c r="H288" s="855"/>
      <c r="I288" s="855"/>
      <c r="J288" s="855"/>
      <c r="K288" s="855"/>
      <c r="L288" s="855"/>
      <c r="M288" s="855"/>
      <c r="N288" s="855"/>
      <c r="O288" s="855"/>
      <c r="P288" s="855"/>
      <c r="Q288" s="855"/>
      <c r="R288" s="855"/>
      <c r="S288" s="855"/>
      <c r="T288" s="855"/>
      <c r="U288" s="855"/>
      <c r="V288" s="855"/>
      <c r="W288" s="855"/>
      <c r="X288" s="855"/>
      <c r="Y288" s="855"/>
      <c r="Z288" s="855"/>
      <c r="AA288" s="855"/>
      <c r="AB288" s="855"/>
    </row>
    <row r="289" spans="1:28" ht="15.75">
      <c r="A289" s="854"/>
      <c r="B289" s="854"/>
      <c r="C289" s="854"/>
      <c r="D289" s="855"/>
      <c r="E289" s="855"/>
      <c r="F289" s="855"/>
      <c r="G289" s="855"/>
      <c r="H289" s="855"/>
      <c r="I289" s="855"/>
      <c r="J289" s="855"/>
      <c r="K289" s="855"/>
      <c r="L289" s="855"/>
      <c r="M289" s="855"/>
      <c r="N289" s="855"/>
      <c r="O289" s="855"/>
      <c r="P289" s="855"/>
      <c r="Q289" s="855"/>
      <c r="R289" s="855"/>
      <c r="S289" s="855"/>
      <c r="T289" s="855"/>
      <c r="U289" s="855"/>
      <c r="V289" s="855"/>
      <c r="W289" s="855"/>
      <c r="X289" s="855"/>
      <c r="Y289" s="855"/>
      <c r="Z289" s="855"/>
      <c r="AA289" s="855"/>
      <c r="AB289" s="855"/>
    </row>
    <row r="290" spans="1:28" ht="15.75">
      <c r="A290" s="854"/>
      <c r="B290" s="854"/>
      <c r="C290" s="854"/>
      <c r="D290" s="855"/>
      <c r="E290" s="855"/>
      <c r="F290" s="855"/>
      <c r="G290" s="855"/>
      <c r="H290" s="855"/>
      <c r="I290" s="855"/>
      <c r="J290" s="855"/>
      <c r="K290" s="855"/>
      <c r="L290" s="855"/>
      <c r="M290" s="855"/>
      <c r="N290" s="855"/>
      <c r="O290" s="855"/>
      <c r="P290" s="855"/>
      <c r="Q290" s="855"/>
      <c r="R290" s="855"/>
      <c r="S290" s="855"/>
      <c r="T290" s="855"/>
      <c r="U290" s="855"/>
      <c r="V290" s="855"/>
      <c r="W290" s="855"/>
      <c r="X290" s="855"/>
      <c r="Y290" s="855"/>
      <c r="Z290" s="855"/>
      <c r="AA290" s="855"/>
      <c r="AB290" s="855"/>
    </row>
    <row r="291" spans="1:28" ht="15.75">
      <c r="A291" s="854"/>
      <c r="B291" s="854"/>
      <c r="C291" s="854"/>
      <c r="D291" s="855"/>
      <c r="E291" s="855"/>
      <c r="F291" s="855"/>
      <c r="G291" s="855"/>
      <c r="H291" s="855"/>
      <c r="I291" s="855"/>
      <c r="J291" s="855"/>
      <c r="K291" s="855"/>
      <c r="L291" s="855"/>
      <c r="M291" s="855"/>
      <c r="N291" s="855"/>
      <c r="O291" s="855"/>
      <c r="P291" s="855"/>
      <c r="Q291" s="855"/>
      <c r="R291" s="855"/>
      <c r="S291" s="855"/>
      <c r="T291" s="855"/>
      <c r="U291" s="855"/>
      <c r="V291" s="855"/>
      <c r="W291" s="855"/>
      <c r="X291" s="855"/>
      <c r="Y291" s="855"/>
      <c r="Z291" s="855"/>
      <c r="AA291" s="855"/>
      <c r="AB291" s="855"/>
    </row>
    <row r="292" spans="1:28" ht="15.75">
      <c r="A292" s="854"/>
      <c r="B292" s="854"/>
      <c r="C292" s="854"/>
      <c r="D292" s="855"/>
      <c r="E292" s="855"/>
      <c r="F292" s="855"/>
      <c r="G292" s="855"/>
      <c r="H292" s="855"/>
      <c r="I292" s="855"/>
      <c r="J292" s="855"/>
      <c r="K292" s="855"/>
      <c r="L292" s="855"/>
      <c r="M292" s="855"/>
      <c r="N292" s="855"/>
      <c r="O292" s="855"/>
      <c r="P292" s="855"/>
      <c r="Q292" s="855"/>
      <c r="R292" s="855"/>
      <c r="S292" s="855"/>
      <c r="T292" s="855"/>
      <c r="U292" s="855"/>
      <c r="V292" s="855"/>
      <c r="W292" s="855"/>
      <c r="X292" s="855"/>
      <c r="Y292" s="855"/>
      <c r="Z292" s="855"/>
      <c r="AA292" s="855"/>
      <c r="AB292" s="855"/>
    </row>
    <row r="293" spans="1:28" ht="15.75">
      <c r="A293" s="854"/>
      <c r="B293" s="854"/>
      <c r="C293" s="854"/>
      <c r="D293" s="855"/>
      <c r="E293" s="855"/>
      <c r="F293" s="855"/>
      <c r="G293" s="855"/>
      <c r="H293" s="855"/>
      <c r="I293" s="855"/>
      <c r="J293" s="855"/>
      <c r="K293" s="855"/>
      <c r="L293" s="855"/>
      <c r="M293" s="855"/>
      <c r="N293" s="855"/>
      <c r="O293" s="855"/>
      <c r="P293" s="855"/>
      <c r="Q293" s="855"/>
      <c r="R293" s="855"/>
      <c r="S293" s="855"/>
      <c r="T293" s="855"/>
      <c r="U293" s="855"/>
      <c r="V293" s="855"/>
      <c r="W293" s="855"/>
      <c r="X293" s="855"/>
      <c r="Y293" s="855"/>
      <c r="Z293" s="855"/>
      <c r="AA293" s="855"/>
      <c r="AB293" s="855"/>
    </row>
    <row r="294" spans="1:28" ht="15.75">
      <c r="A294" s="854"/>
      <c r="B294" s="854"/>
      <c r="C294" s="854"/>
      <c r="D294" s="855"/>
      <c r="E294" s="855"/>
      <c r="F294" s="855"/>
      <c r="G294" s="855"/>
      <c r="H294" s="855"/>
      <c r="I294" s="855"/>
      <c r="J294" s="855"/>
      <c r="K294" s="855"/>
      <c r="L294" s="855"/>
      <c r="M294" s="855"/>
      <c r="N294" s="855"/>
      <c r="O294" s="855"/>
      <c r="P294" s="855"/>
      <c r="Q294" s="855"/>
      <c r="R294" s="855"/>
      <c r="S294" s="855"/>
      <c r="T294" s="855"/>
      <c r="U294" s="855"/>
      <c r="V294" s="855"/>
      <c r="W294" s="855"/>
      <c r="X294" s="855"/>
      <c r="Y294" s="855"/>
      <c r="Z294" s="855"/>
      <c r="AA294" s="855"/>
      <c r="AB294" s="855"/>
    </row>
    <row r="295" spans="1:28" ht="15.75">
      <c r="A295" s="854"/>
      <c r="B295" s="854"/>
      <c r="C295" s="854"/>
      <c r="D295" s="855"/>
      <c r="E295" s="855"/>
      <c r="F295" s="855"/>
      <c r="G295" s="855"/>
      <c r="H295" s="855"/>
      <c r="I295" s="855"/>
      <c r="J295" s="855"/>
      <c r="K295" s="855"/>
      <c r="L295" s="855"/>
      <c r="M295" s="855"/>
      <c r="N295" s="855"/>
      <c r="O295" s="855"/>
      <c r="P295" s="855"/>
      <c r="Q295" s="855"/>
      <c r="R295" s="855"/>
      <c r="S295" s="855"/>
      <c r="T295" s="855"/>
      <c r="U295" s="855"/>
      <c r="V295" s="855"/>
      <c r="W295" s="855"/>
      <c r="X295" s="855"/>
      <c r="Y295" s="855"/>
      <c r="Z295" s="855"/>
      <c r="AA295" s="855"/>
      <c r="AB295" s="855"/>
    </row>
    <row r="296" spans="1:28" ht="15.75">
      <c r="A296" s="854"/>
      <c r="B296" s="854"/>
      <c r="C296" s="854"/>
      <c r="D296" s="855"/>
      <c r="E296" s="855"/>
      <c r="F296" s="855"/>
      <c r="G296" s="855"/>
      <c r="H296" s="855"/>
      <c r="I296" s="855"/>
      <c r="J296" s="855"/>
      <c r="K296" s="855"/>
      <c r="L296" s="855"/>
      <c r="M296" s="855"/>
      <c r="N296" s="855"/>
      <c r="O296" s="855"/>
      <c r="P296" s="855"/>
      <c r="Q296" s="855"/>
      <c r="R296" s="855"/>
      <c r="S296" s="855"/>
      <c r="T296" s="855"/>
      <c r="U296" s="855"/>
      <c r="V296" s="855"/>
      <c r="W296" s="855"/>
      <c r="X296" s="855"/>
      <c r="Y296" s="855"/>
      <c r="Z296" s="855"/>
      <c r="AA296" s="855"/>
      <c r="AB296" s="855"/>
    </row>
    <row r="297" spans="1:28" ht="15.75">
      <c r="A297" s="854"/>
      <c r="B297" s="854"/>
      <c r="C297" s="854"/>
      <c r="D297" s="855"/>
      <c r="E297" s="855"/>
      <c r="F297" s="855"/>
      <c r="G297" s="855"/>
      <c r="H297" s="855"/>
      <c r="I297" s="855"/>
      <c r="J297" s="855"/>
      <c r="K297" s="855"/>
      <c r="L297" s="855"/>
      <c r="M297" s="855"/>
      <c r="N297" s="855"/>
      <c r="O297" s="855"/>
      <c r="P297" s="855"/>
      <c r="Q297" s="855"/>
      <c r="R297" s="855"/>
      <c r="S297" s="855"/>
      <c r="T297" s="855"/>
      <c r="U297" s="855"/>
      <c r="V297" s="855"/>
      <c r="W297" s="855"/>
      <c r="X297" s="855"/>
      <c r="Y297" s="855"/>
      <c r="Z297" s="855"/>
      <c r="AA297" s="855"/>
      <c r="AB297" s="855"/>
    </row>
    <row r="298" spans="1:28" ht="15.75">
      <c r="A298" s="854"/>
      <c r="B298" s="854"/>
      <c r="C298" s="854"/>
      <c r="D298" s="855"/>
      <c r="E298" s="855"/>
      <c r="F298" s="855"/>
      <c r="G298" s="855"/>
      <c r="H298" s="855"/>
      <c r="I298" s="855"/>
      <c r="J298" s="855"/>
      <c r="K298" s="855"/>
      <c r="L298" s="855"/>
      <c r="M298" s="855"/>
      <c r="N298" s="855"/>
      <c r="O298" s="855"/>
      <c r="P298" s="855"/>
      <c r="Q298" s="855"/>
      <c r="R298" s="855"/>
      <c r="S298" s="855"/>
      <c r="T298" s="855"/>
      <c r="U298" s="855"/>
      <c r="V298" s="855"/>
      <c r="W298" s="855"/>
      <c r="X298" s="855"/>
      <c r="Y298" s="855"/>
      <c r="Z298" s="855"/>
      <c r="AA298" s="855"/>
      <c r="AB298" s="855"/>
    </row>
    <row r="299" spans="1:28" ht="15.75">
      <c r="A299" s="854"/>
      <c r="B299" s="854"/>
      <c r="C299" s="854"/>
      <c r="D299" s="855"/>
      <c r="E299" s="855"/>
      <c r="F299" s="855"/>
      <c r="G299" s="855"/>
      <c r="H299" s="855"/>
      <c r="I299" s="855"/>
      <c r="J299" s="855"/>
      <c r="K299" s="855"/>
      <c r="L299" s="855"/>
      <c r="M299" s="855"/>
      <c r="N299" s="855"/>
      <c r="O299" s="855"/>
      <c r="P299" s="855"/>
      <c r="Q299" s="855"/>
      <c r="R299" s="855"/>
      <c r="S299" s="855"/>
      <c r="T299" s="855"/>
      <c r="U299" s="855"/>
      <c r="V299" s="855"/>
      <c r="W299" s="855"/>
      <c r="X299" s="855"/>
      <c r="Y299" s="855"/>
      <c r="Z299" s="855"/>
      <c r="AA299" s="855"/>
      <c r="AB299" s="855"/>
    </row>
    <row r="300" spans="1:28" ht="15.75">
      <c r="A300" s="854"/>
      <c r="B300" s="854"/>
      <c r="C300" s="854"/>
      <c r="D300" s="855"/>
      <c r="E300" s="855"/>
      <c r="F300" s="855"/>
      <c r="G300" s="855"/>
      <c r="H300" s="855"/>
      <c r="I300" s="855"/>
      <c r="J300" s="855"/>
      <c r="K300" s="855"/>
      <c r="L300" s="855"/>
      <c r="M300" s="855"/>
      <c r="N300" s="855"/>
      <c r="O300" s="855"/>
      <c r="P300" s="855"/>
      <c r="Q300" s="855"/>
      <c r="R300" s="855"/>
      <c r="S300" s="855"/>
      <c r="T300" s="855"/>
      <c r="U300" s="855"/>
      <c r="V300" s="855"/>
      <c r="W300" s="855"/>
      <c r="X300" s="855"/>
      <c r="Y300" s="855"/>
      <c r="Z300" s="855"/>
      <c r="AA300" s="855"/>
      <c r="AB300" s="855"/>
    </row>
    <row r="301" spans="1:28" ht="15.75">
      <c r="A301" s="854"/>
      <c r="B301" s="854"/>
      <c r="C301" s="854"/>
      <c r="D301" s="855"/>
      <c r="E301" s="855"/>
      <c r="F301" s="855"/>
      <c r="G301" s="855"/>
      <c r="H301" s="855"/>
      <c r="I301" s="855"/>
      <c r="J301" s="855"/>
      <c r="K301" s="855"/>
      <c r="L301" s="855"/>
      <c r="M301" s="855"/>
      <c r="N301" s="855"/>
      <c r="O301" s="855"/>
      <c r="P301" s="855"/>
      <c r="Q301" s="855"/>
      <c r="R301" s="855"/>
      <c r="S301" s="855"/>
      <c r="T301" s="855"/>
      <c r="U301" s="855"/>
      <c r="V301" s="855"/>
      <c r="W301" s="855"/>
      <c r="X301" s="855"/>
      <c r="Y301" s="855"/>
      <c r="Z301" s="855"/>
      <c r="AA301" s="855"/>
      <c r="AB301" s="855"/>
    </row>
    <row r="302" spans="1:28" ht="15.75">
      <c r="A302" s="854"/>
      <c r="B302" s="854"/>
      <c r="C302" s="854"/>
      <c r="D302" s="855"/>
      <c r="E302" s="855"/>
      <c r="F302" s="855"/>
      <c r="G302" s="855"/>
      <c r="H302" s="855"/>
      <c r="I302" s="855"/>
      <c r="J302" s="855"/>
      <c r="K302" s="855"/>
      <c r="L302" s="855"/>
      <c r="M302" s="855"/>
      <c r="N302" s="855"/>
      <c r="O302" s="855"/>
      <c r="P302" s="855"/>
      <c r="Q302" s="855"/>
      <c r="R302" s="855"/>
      <c r="S302" s="855"/>
      <c r="T302" s="855"/>
      <c r="U302" s="855"/>
      <c r="V302" s="855"/>
      <c r="W302" s="855"/>
      <c r="X302" s="855"/>
      <c r="Y302" s="855"/>
      <c r="Z302" s="855"/>
      <c r="AA302" s="855"/>
      <c r="AB302" s="855"/>
    </row>
    <row r="303" spans="1:28" ht="15.75">
      <c r="A303" s="854"/>
      <c r="B303" s="854"/>
      <c r="C303" s="854"/>
      <c r="D303" s="855"/>
      <c r="E303" s="855"/>
      <c r="F303" s="855"/>
      <c r="G303" s="855"/>
      <c r="H303" s="855"/>
      <c r="I303" s="855"/>
      <c r="J303" s="855"/>
      <c r="K303" s="855"/>
      <c r="L303" s="855"/>
      <c r="M303" s="855"/>
      <c r="N303" s="855"/>
      <c r="O303" s="855"/>
      <c r="P303" s="855"/>
      <c r="Q303" s="855"/>
      <c r="R303" s="855"/>
      <c r="S303" s="855"/>
      <c r="T303" s="855"/>
      <c r="U303" s="855"/>
      <c r="V303" s="855"/>
      <c r="W303" s="855"/>
      <c r="X303" s="855"/>
      <c r="Y303" s="855"/>
      <c r="Z303" s="855"/>
      <c r="AA303" s="855"/>
      <c r="AB303" s="855"/>
    </row>
    <row r="304" spans="1:28" ht="15.75">
      <c r="A304" s="854"/>
      <c r="B304" s="854"/>
      <c r="C304" s="854"/>
      <c r="D304" s="855"/>
      <c r="E304" s="855"/>
      <c r="F304" s="855"/>
      <c r="G304" s="855"/>
      <c r="H304" s="855"/>
      <c r="I304" s="855"/>
      <c r="J304" s="855"/>
      <c r="K304" s="855"/>
      <c r="L304" s="855"/>
      <c r="M304" s="855"/>
      <c r="N304" s="855"/>
      <c r="O304" s="855"/>
      <c r="P304" s="855"/>
      <c r="Q304" s="855"/>
      <c r="R304" s="855"/>
      <c r="S304" s="855"/>
      <c r="T304" s="855"/>
      <c r="U304" s="855"/>
      <c r="V304" s="855"/>
      <c r="W304" s="855"/>
      <c r="X304" s="855"/>
      <c r="Y304" s="855"/>
      <c r="Z304" s="855"/>
      <c r="AA304" s="855"/>
      <c r="AB304" s="855"/>
    </row>
    <row r="305" spans="1:28" ht="15.75">
      <c r="A305" s="854"/>
      <c r="B305" s="854"/>
      <c r="C305" s="854"/>
      <c r="D305" s="855"/>
      <c r="E305" s="855"/>
      <c r="F305" s="855"/>
      <c r="G305" s="855"/>
      <c r="H305" s="855"/>
      <c r="I305" s="855"/>
      <c r="J305" s="855"/>
      <c r="K305" s="855"/>
      <c r="L305" s="855"/>
      <c r="M305" s="855"/>
      <c r="N305" s="855"/>
      <c r="O305" s="855"/>
      <c r="P305" s="855"/>
      <c r="Q305" s="855"/>
      <c r="R305" s="855"/>
      <c r="S305" s="855"/>
      <c r="T305" s="855"/>
      <c r="U305" s="855"/>
      <c r="V305" s="855"/>
      <c r="W305" s="855"/>
      <c r="X305" s="855"/>
      <c r="Y305" s="855"/>
      <c r="Z305" s="855"/>
      <c r="AA305" s="855"/>
      <c r="AB305" s="855"/>
    </row>
    <row r="306" spans="1:28" ht="15.75">
      <c r="A306" s="854"/>
      <c r="B306" s="854"/>
      <c r="C306" s="854"/>
      <c r="D306" s="855"/>
      <c r="E306" s="855"/>
      <c r="F306" s="855"/>
      <c r="G306" s="855"/>
      <c r="H306" s="855"/>
      <c r="I306" s="855"/>
      <c r="J306" s="855"/>
      <c r="K306" s="855"/>
      <c r="L306" s="855"/>
      <c r="M306" s="855"/>
      <c r="N306" s="855"/>
      <c r="O306" s="855"/>
      <c r="P306" s="855"/>
      <c r="Q306" s="855"/>
      <c r="R306" s="855"/>
      <c r="S306" s="855"/>
      <c r="T306" s="855"/>
      <c r="U306" s="855"/>
      <c r="V306" s="855"/>
      <c r="W306" s="855"/>
      <c r="X306" s="855"/>
      <c r="Y306" s="855"/>
      <c r="Z306" s="855"/>
      <c r="AA306" s="855"/>
      <c r="AB306" s="855"/>
    </row>
    <row r="307" spans="1:28" ht="15.75">
      <c r="A307" s="854"/>
      <c r="B307" s="854"/>
      <c r="C307" s="854"/>
      <c r="D307" s="855"/>
      <c r="E307" s="855"/>
      <c r="F307" s="855"/>
      <c r="G307" s="855"/>
      <c r="H307" s="855"/>
      <c r="I307" s="855"/>
      <c r="J307" s="855"/>
      <c r="K307" s="855"/>
      <c r="L307" s="855"/>
      <c r="M307" s="855"/>
      <c r="N307" s="855"/>
      <c r="O307" s="855"/>
      <c r="P307" s="855"/>
      <c r="Q307" s="855"/>
      <c r="R307" s="855"/>
      <c r="S307" s="855"/>
      <c r="T307" s="855"/>
      <c r="U307" s="855"/>
      <c r="V307" s="855"/>
      <c r="W307" s="855"/>
      <c r="X307" s="855"/>
      <c r="Y307" s="855"/>
      <c r="Z307" s="855"/>
      <c r="AA307" s="855"/>
      <c r="AB307" s="855"/>
    </row>
    <row r="308" spans="1:28" ht="15.75">
      <c r="A308" s="854"/>
      <c r="B308" s="854"/>
      <c r="C308" s="854"/>
      <c r="D308" s="855"/>
      <c r="E308" s="855"/>
      <c r="F308" s="855"/>
      <c r="G308" s="855"/>
      <c r="H308" s="855"/>
      <c r="I308" s="855"/>
      <c r="J308" s="855"/>
      <c r="K308" s="855"/>
      <c r="L308" s="855"/>
      <c r="M308" s="855"/>
      <c r="N308" s="855"/>
      <c r="O308" s="855"/>
      <c r="P308" s="855"/>
      <c r="Q308" s="855"/>
      <c r="R308" s="855"/>
      <c r="S308" s="855"/>
      <c r="T308" s="855"/>
      <c r="U308" s="855"/>
      <c r="V308" s="855"/>
      <c r="W308" s="855"/>
      <c r="X308" s="855"/>
      <c r="Y308" s="855"/>
      <c r="Z308" s="855"/>
      <c r="AA308" s="855"/>
      <c r="AB308" s="855"/>
    </row>
    <row r="309" spans="1:28" ht="15.75">
      <c r="A309" s="854"/>
      <c r="B309" s="854"/>
      <c r="C309" s="854"/>
      <c r="D309" s="855"/>
      <c r="E309" s="855"/>
      <c r="F309" s="855"/>
      <c r="G309" s="855"/>
      <c r="H309" s="855"/>
      <c r="I309" s="855"/>
      <c r="J309" s="855"/>
      <c r="K309" s="855"/>
      <c r="L309" s="855"/>
      <c r="M309" s="855"/>
      <c r="N309" s="855"/>
      <c r="O309" s="855"/>
      <c r="P309" s="855"/>
      <c r="Q309" s="855"/>
      <c r="R309" s="855"/>
      <c r="S309" s="855"/>
      <c r="T309" s="855"/>
      <c r="U309" s="855"/>
      <c r="V309" s="855"/>
      <c r="W309" s="855"/>
      <c r="X309" s="855"/>
      <c r="Y309" s="855"/>
      <c r="Z309" s="855"/>
      <c r="AA309" s="855"/>
      <c r="AB309" s="855"/>
    </row>
    <row r="310" spans="1:28" ht="15.75">
      <c r="A310" s="854"/>
      <c r="B310" s="854"/>
      <c r="C310" s="854"/>
      <c r="D310" s="855"/>
      <c r="E310" s="855"/>
      <c r="F310" s="855"/>
      <c r="G310" s="855"/>
      <c r="H310" s="855"/>
      <c r="I310" s="855"/>
      <c r="J310" s="855"/>
      <c r="K310" s="855"/>
      <c r="L310" s="855"/>
      <c r="M310" s="855"/>
      <c r="N310" s="855"/>
      <c r="O310" s="855"/>
      <c r="P310" s="855"/>
      <c r="Q310" s="855"/>
      <c r="R310" s="855"/>
      <c r="S310" s="855"/>
      <c r="T310" s="855"/>
      <c r="U310" s="855"/>
      <c r="V310" s="855"/>
      <c r="W310" s="855"/>
      <c r="X310" s="855"/>
      <c r="Y310" s="855"/>
      <c r="Z310" s="855"/>
      <c r="AA310" s="855"/>
      <c r="AB310" s="855"/>
    </row>
    <row r="311" spans="1:28" ht="15.75">
      <c r="A311" s="854"/>
      <c r="B311" s="854"/>
      <c r="C311" s="854"/>
      <c r="D311" s="855"/>
      <c r="E311" s="855"/>
      <c r="F311" s="855"/>
      <c r="G311" s="855"/>
      <c r="H311" s="855"/>
      <c r="I311" s="855"/>
      <c r="J311" s="855"/>
      <c r="K311" s="855"/>
      <c r="L311" s="855"/>
      <c r="M311" s="855"/>
      <c r="N311" s="855"/>
      <c r="O311" s="855"/>
      <c r="P311" s="855"/>
      <c r="Q311" s="855"/>
      <c r="R311" s="855"/>
      <c r="S311" s="855"/>
      <c r="T311" s="855"/>
      <c r="U311" s="855"/>
      <c r="V311" s="855"/>
      <c r="W311" s="855"/>
      <c r="X311" s="855"/>
      <c r="Y311" s="855"/>
      <c r="Z311" s="855"/>
      <c r="AA311" s="855"/>
      <c r="AB311" s="855"/>
    </row>
    <row r="312" spans="1:28" ht="15.75">
      <c r="A312" s="854"/>
      <c r="B312" s="854"/>
      <c r="C312" s="854"/>
      <c r="D312" s="855"/>
      <c r="E312" s="855"/>
      <c r="F312" s="855"/>
      <c r="G312" s="855"/>
      <c r="H312" s="855"/>
      <c r="I312" s="855"/>
      <c r="J312" s="855"/>
      <c r="K312" s="855"/>
      <c r="L312" s="855"/>
      <c r="M312" s="855"/>
      <c r="N312" s="855"/>
      <c r="O312" s="855"/>
      <c r="P312" s="855"/>
      <c r="Q312" s="855"/>
      <c r="R312" s="855"/>
      <c r="S312" s="855"/>
      <c r="T312" s="855"/>
      <c r="U312" s="855"/>
      <c r="V312" s="855"/>
      <c r="W312" s="855"/>
      <c r="X312" s="855"/>
      <c r="Y312" s="855"/>
      <c r="Z312" s="855"/>
      <c r="AA312" s="855"/>
      <c r="AB312" s="855"/>
    </row>
    <row r="313" spans="1:28" ht="15.75">
      <c r="A313" s="854"/>
      <c r="B313" s="854"/>
      <c r="C313" s="854"/>
      <c r="D313" s="855"/>
      <c r="E313" s="855"/>
      <c r="F313" s="855"/>
      <c r="G313" s="855"/>
      <c r="H313" s="855"/>
      <c r="I313" s="855"/>
      <c r="J313" s="855"/>
      <c r="K313" s="855"/>
      <c r="L313" s="855"/>
      <c r="M313" s="855"/>
      <c r="N313" s="855"/>
      <c r="O313" s="855"/>
      <c r="P313" s="855"/>
      <c r="Q313" s="855"/>
      <c r="R313" s="855"/>
      <c r="S313" s="855"/>
      <c r="T313" s="855"/>
      <c r="U313" s="855"/>
      <c r="V313" s="855"/>
      <c r="W313" s="855"/>
      <c r="X313" s="855"/>
      <c r="Y313" s="855"/>
      <c r="Z313" s="855"/>
      <c r="AA313" s="855"/>
      <c r="AB313" s="855"/>
    </row>
    <row r="314" spans="1:28" ht="15.75">
      <c r="A314" s="854"/>
      <c r="B314" s="854"/>
      <c r="C314" s="854"/>
      <c r="D314" s="855"/>
      <c r="E314" s="855"/>
      <c r="F314" s="855"/>
      <c r="G314" s="855"/>
      <c r="H314" s="855"/>
      <c r="I314" s="855"/>
      <c r="J314" s="855"/>
      <c r="K314" s="855"/>
      <c r="L314" s="855"/>
      <c r="M314" s="855"/>
      <c r="N314" s="855"/>
      <c r="O314" s="855"/>
      <c r="P314" s="855"/>
      <c r="Q314" s="855"/>
      <c r="R314" s="855"/>
      <c r="S314" s="855"/>
      <c r="T314" s="855"/>
      <c r="U314" s="855"/>
      <c r="V314" s="855"/>
      <c r="W314" s="855"/>
      <c r="X314" s="855"/>
      <c r="Y314" s="855"/>
      <c r="Z314" s="855"/>
      <c r="AA314" s="855"/>
      <c r="AB314" s="855"/>
    </row>
    <row r="315" spans="1:28" ht="15.75">
      <c r="A315" s="854"/>
      <c r="B315" s="854"/>
      <c r="C315" s="854"/>
      <c r="D315" s="855"/>
      <c r="E315" s="855"/>
      <c r="F315" s="855"/>
      <c r="G315" s="855"/>
      <c r="H315" s="855"/>
      <c r="I315" s="855"/>
      <c r="J315" s="855"/>
      <c r="K315" s="855"/>
      <c r="L315" s="855"/>
      <c r="M315" s="855"/>
      <c r="N315" s="855"/>
      <c r="O315" s="855"/>
      <c r="P315" s="855"/>
      <c r="Q315" s="855"/>
      <c r="R315" s="855"/>
      <c r="S315" s="855"/>
      <c r="T315" s="855"/>
      <c r="U315" s="855"/>
      <c r="V315" s="855"/>
      <c r="W315" s="855"/>
      <c r="X315" s="855"/>
      <c r="Y315" s="855"/>
      <c r="Z315" s="855"/>
      <c r="AA315" s="855"/>
      <c r="AB315" s="855"/>
    </row>
    <row r="316" spans="1:28" ht="15.75">
      <c r="A316" s="854"/>
      <c r="B316" s="854"/>
      <c r="C316" s="854"/>
      <c r="D316" s="855"/>
      <c r="E316" s="855"/>
      <c r="F316" s="855"/>
      <c r="G316" s="855"/>
      <c r="H316" s="855"/>
      <c r="I316" s="855"/>
      <c r="J316" s="855"/>
      <c r="K316" s="855"/>
      <c r="L316" s="855"/>
      <c r="M316" s="855"/>
      <c r="N316" s="855"/>
      <c r="O316" s="855"/>
      <c r="P316" s="855"/>
      <c r="Q316" s="855"/>
      <c r="R316" s="855"/>
      <c r="S316" s="855"/>
      <c r="T316" s="855"/>
      <c r="U316" s="855"/>
      <c r="V316" s="855"/>
      <c r="W316" s="855"/>
      <c r="X316" s="855"/>
      <c r="Y316" s="855"/>
      <c r="Z316" s="855"/>
      <c r="AA316" s="855"/>
      <c r="AB316" s="855"/>
    </row>
    <row r="317" spans="1:28" ht="15.75">
      <c r="A317" s="854"/>
      <c r="B317" s="854"/>
      <c r="C317" s="854"/>
      <c r="D317" s="855"/>
      <c r="E317" s="855"/>
      <c r="F317" s="855"/>
      <c r="G317" s="855"/>
      <c r="H317" s="855"/>
      <c r="I317" s="855"/>
      <c r="J317" s="855"/>
      <c r="K317" s="855"/>
      <c r="L317" s="855"/>
      <c r="M317" s="855"/>
      <c r="N317" s="855"/>
      <c r="O317" s="855"/>
      <c r="P317" s="855"/>
      <c r="Q317" s="855"/>
      <c r="R317" s="855"/>
      <c r="S317" s="855"/>
      <c r="T317" s="855"/>
      <c r="U317" s="855"/>
      <c r="V317" s="855"/>
      <c r="W317" s="855"/>
      <c r="X317" s="855"/>
      <c r="Y317" s="855"/>
      <c r="Z317" s="855"/>
      <c r="AA317" s="855"/>
      <c r="AB317" s="855"/>
    </row>
    <row r="318" spans="1:28" ht="15.75">
      <c r="A318" s="854"/>
      <c r="B318" s="854"/>
      <c r="C318" s="854"/>
      <c r="D318" s="855"/>
      <c r="E318" s="855"/>
      <c r="F318" s="855"/>
      <c r="G318" s="855"/>
      <c r="H318" s="855"/>
      <c r="I318" s="855"/>
      <c r="J318" s="855"/>
      <c r="K318" s="855"/>
      <c r="L318" s="855"/>
      <c r="M318" s="855"/>
      <c r="N318" s="855"/>
      <c r="O318" s="855"/>
      <c r="P318" s="855"/>
      <c r="Q318" s="855"/>
      <c r="R318" s="855"/>
      <c r="S318" s="855"/>
      <c r="T318" s="855"/>
      <c r="U318" s="855"/>
      <c r="V318" s="855"/>
      <c r="W318" s="855"/>
      <c r="X318" s="855"/>
      <c r="Y318" s="855"/>
      <c r="Z318" s="855"/>
      <c r="AA318" s="855"/>
      <c r="AB318" s="855"/>
    </row>
    <row r="319" spans="1:28" ht="15.75">
      <c r="A319" s="854"/>
      <c r="B319" s="854"/>
      <c r="C319" s="854"/>
      <c r="D319" s="855"/>
      <c r="E319" s="855"/>
      <c r="F319" s="855"/>
      <c r="G319" s="855"/>
      <c r="H319" s="855"/>
      <c r="I319" s="855"/>
      <c r="J319" s="855"/>
      <c r="K319" s="855"/>
      <c r="L319" s="855"/>
      <c r="M319" s="855"/>
      <c r="N319" s="855"/>
      <c r="O319" s="855"/>
      <c r="P319" s="855"/>
      <c r="Q319" s="855"/>
      <c r="R319" s="855"/>
      <c r="S319" s="855"/>
      <c r="T319" s="855"/>
      <c r="U319" s="855"/>
      <c r="V319" s="855"/>
      <c r="W319" s="855"/>
      <c r="X319" s="855"/>
      <c r="Y319" s="855"/>
      <c r="Z319" s="855"/>
      <c r="AA319" s="855"/>
      <c r="AB319" s="855"/>
    </row>
    <row r="320" spans="1:28" ht="15.75">
      <c r="A320" s="854"/>
      <c r="B320" s="854"/>
      <c r="C320" s="854"/>
      <c r="D320" s="855"/>
      <c r="E320" s="855"/>
      <c r="F320" s="855"/>
      <c r="G320" s="855"/>
      <c r="H320" s="855"/>
      <c r="I320" s="855"/>
      <c r="J320" s="855"/>
      <c r="K320" s="855"/>
      <c r="L320" s="855"/>
      <c r="M320" s="855"/>
      <c r="N320" s="855"/>
      <c r="O320" s="855"/>
      <c r="P320" s="855"/>
      <c r="Q320" s="855"/>
      <c r="R320" s="855"/>
      <c r="S320" s="855"/>
      <c r="T320" s="855"/>
      <c r="U320" s="855"/>
      <c r="V320" s="855"/>
      <c r="W320" s="855"/>
      <c r="X320" s="855"/>
      <c r="Y320" s="855"/>
      <c r="Z320" s="855"/>
      <c r="AA320" s="855"/>
      <c r="AB320" s="855"/>
    </row>
    <row r="321" spans="1:28" ht="15.75">
      <c r="A321" s="854"/>
      <c r="B321" s="854"/>
      <c r="C321" s="854"/>
      <c r="D321" s="855"/>
      <c r="E321" s="855"/>
      <c r="F321" s="855"/>
      <c r="G321" s="855"/>
      <c r="H321" s="855"/>
      <c r="I321" s="855"/>
      <c r="J321" s="855"/>
      <c r="K321" s="855"/>
      <c r="L321" s="855"/>
      <c r="M321" s="855"/>
      <c r="N321" s="855"/>
      <c r="O321" s="855"/>
      <c r="P321" s="855"/>
      <c r="Q321" s="855"/>
      <c r="R321" s="855"/>
      <c r="S321" s="855"/>
      <c r="T321" s="855"/>
      <c r="U321" s="855"/>
      <c r="V321" s="855"/>
      <c r="W321" s="855"/>
      <c r="X321" s="855"/>
      <c r="Y321" s="855"/>
      <c r="Z321" s="855"/>
      <c r="AA321" s="855"/>
      <c r="AB321" s="855"/>
    </row>
    <row r="322" spans="1:28" ht="15.75">
      <c r="A322" s="854"/>
      <c r="B322" s="854"/>
      <c r="C322" s="854"/>
      <c r="D322" s="855"/>
      <c r="E322" s="855"/>
      <c r="F322" s="855"/>
      <c r="G322" s="855"/>
      <c r="H322" s="855"/>
      <c r="I322" s="855"/>
      <c r="J322" s="855"/>
      <c r="K322" s="855"/>
      <c r="L322" s="855"/>
      <c r="M322" s="855"/>
      <c r="N322" s="855"/>
      <c r="O322" s="855"/>
      <c r="P322" s="855"/>
      <c r="Q322" s="855"/>
      <c r="R322" s="855"/>
      <c r="S322" s="855"/>
      <c r="T322" s="855"/>
      <c r="U322" s="855"/>
      <c r="V322" s="855"/>
      <c r="W322" s="855"/>
      <c r="X322" s="855"/>
      <c r="Y322" s="855"/>
      <c r="Z322" s="855"/>
      <c r="AA322" s="855"/>
      <c r="AB322" s="855"/>
    </row>
    <row r="323" spans="1:28" ht="15.75">
      <c r="A323" s="854"/>
      <c r="B323" s="854"/>
      <c r="C323" s="854"/>
      <c r="D323" s="855"/>
      <c r="E323" s="855"/>
      <c r="F323" s="855"/>
      <c r="G323" s="855"/>
      <c r="H323" s="855"/>
      <c r="I323" s="855"/>
      <c r="J323" s="855"/>
      <c r="K323" s="855"/>
      <c r="L323" s="855"/>
      <c r="M323" s="855"/>
      <c r="N323" s="855"/>
      <c r="O323" s="855"/>
      <c r="P323" s="855"/>
      <c r="Q323" s="855"/>
      <c r="R323" s="855"/>
      <c r="S323" s="855"/>
      <c r="T323" s="855"/>
      <c r="U323" s="855"/>
      <c r="V323" s="855"/>
      <c r="W323" s="855"/>
      <c r="X323" s="855"/>
      <c r="Y323" s="855"/>
      <c r="Z323" s="855"/>
      <c r="AA323" s="855"/>
      <c r="AB323" s="855"/>
    </row>
    <row r="324" spans="1:28" ht="15.75">
      <c r="A324" s="854"/>
      <c r="B324" s="854"/>
      <c r="C324" s="854"/>
      <c r="D324" s="855"/>
      <c r="E324" s="855"/>
      <c r="F324" s="855"/>
      <c r="G324" s="855"/>
      <c r="H324" s="855"/>
      <c r="I324" s="855"/>
      <c r="J324" s="855"/>
      <c r="K324" s="855"/>
      <c r="L324" s="855"/>
      <c r="M324" s="855"/>
      <c r="N324" s="855"/>
      <c r="O324" s="855"/>
      <c r="P324" s="855"/>
      <c r="Q324" s="855"/>
      <c r="R324" s="855"/>
      <c r="S324" s="855"/>
      <c r="T324" s="855"/>
      <c r="U324" s="855"/>
      <c r="V324" s="855"/>
      <c r="W324" s="855"/>
      <c r="X324" s="855"/>
      <c r="Y324" s="855"/>
      <c r="Z324" s="855"/>
      <c r="AA324" s="855"/>
      <c r="AB324" s="855"/>
    </row>
    <row r="325" spans="1:28" ht="15.75">
      <c r="A325" s="854"/>
      <c r="B325" s="854"/>
      <c r="C325" s="854"/>
      <c r="D325" s="855"/>
      <c r="E325" s="855"/>
      <c r="F325" s="855"/>
      <c r="G325" s="855"/>
      <c r="H325" s="855"/>
      <c r="I325" s="855"/>
      <c r="J325" s="855"/>
      <c r="K325" s="855"/>
      <c r="L325" s="855"/>
      <c r="M325" s="855"/>
      <c r="N325" s="855"/>
      <c r="O325" s="855"/>
      <c r="P325" s="855"/>
      <c r="Q325" s="855"/>
      <c r="R325" s="855"/>
      <c r="S325" s="855"/>
      <c r="T325" s="855"/>
      <c r="U325" s="855"/>
      <c r="V325" s="855"/>
      <c r="W325" s="855"/>
      <c r="X325" s="855"/>
      <c r="Y325" s="855"/>
      <c r="Z325" s="855"/>
      <c r="AA325" s="855"/>
      <c r="AB325" s="855"/>
    </row>
    <row r="326" spans="1:28" ht="15.75">
      <c r="A326" s="854"/>
      <c r="B326" s="854"/>
      <c r="C326" s="854"/>
      <c r="D326" s="855"/>
      <c r="E326" s="855"/>
      <c r="F326" s="855"/>
      <c r="G326" s="855"/>
      <c r="H326" s="855"/>
      <c r="I326" s="855"/>
      <c r="J326" s="855"/>
      <c r="K326" s="855"/>
      <c r="L326" s="855"/>
      <c r="M326" s="855"/>
      <c r="N326" s="855"/>
      <c r="O326" s="855"/>
      <c r="P326" s="855"/>
      <c r="Q326" s="855"/>
      <c r="R326" s="855"/>
      <c r="S326" s="855"/>
      <c r="T326" s="855"/>
      <c r="U326" s="855"/>
      <c r="V326" s="855"/>
      <c r="W326" s="855"/>
      <c r="X326" s="855"/>
      <c r="Y326" s="855"/>
      <c r="Z326" s="855"/>
      <c r="AA326" s="855"/>
      <c r="AB326" s="855"/>
    </row>
    <row r="327" spans="1:28" ht="15.75">
      <c r="A327" s="854"/>
      <c r="B327" s="854"/>
      <c r="C327" s="854"/>
      <c r="D327" s="855"/>
      <c r="E327" s="855"/>
      <c r="F327" s="855"/>
      <c r="G327" s="855"/>
      <c r="H327" s="855"/>
      <c r="I327" s="855"/>
      <c r="J327" s="855"/>
      <c r="K327" s="855"/>
      <c r="L327" s="855"/>
      <c r="M327" s="855"/>
      <c r="N327" s="855"/>
      <c r="O327" s="855"/>
      <c r="P327" s="855"/>
      <c r="Q327" s="855"/>
      <c r="R327" s="855"/>
      <c r="S327" s="855"/>
      <c r="T327" s="855"/>
      <c r="U327" s="855"/>
      <c r="V327" s="855"/>
      <c r="W327" s="855"/>
      <c r="X327" s="855"/>
      <c r="Y327" s="855"/>
      <c r="Z327" s="855"/>
      <c r="AA327" s="855"/>
      <c r="AB327" s="855"/>
    </row>
    <row r="328" spans="2:28" ht="15.75">
      <c r="B328" s="854"/>
      <c r="C328" s="854"/>
      <c r="D328" s="855"/>
      <c r="E328" s="855"/>
      <c r="F328" s="855"/>
      <c r="G328" s="855"/>
      <c r="H328" s="855"/>
      <c r="I328" s="855"/>
      <c r="J328" s="855"/>
      <c r="K328" s="855"/>
      <c r="L328" s="855"/>
      <c r="M328" s="855"/>
      <c r="N328" s="855"/>
      <c r="O328" s="855"/>
      <c r="P328" s="855"/>
      <c r="Q328" s="855"/>
      <c r="R328" s="855"/>
      <c r="S328" s="855"/>
      <c r="T328" s="855"/>
      <c r="U328" s="855"/>
      <c r="V328" s="855"/>
      <c r="W328" s="855"/>
      <c r="X328" s="855"/>
      <c r="Y328" s="855"/>
      <c r="Z328" s="855"/>
      <c r="AA328" s="855"/>
      <c r="AB328" s="855"/>
    </row>
    <row r="329" spans="2:28" ht="15.75">
      <c r="B329" s="854"/>
      <c r="C329" s="854"/>
      <c r="D329" s="855"/>
      <c r="E329" s="855"/>
      <c r="F329" s="855"/>
      <c r="G329" s="855"/>
      <c r="H329" s="855"/>
      <c r="I329" s="855"/>
      <c r="J329" s="855"/>
      <c r="K329" s="855"/>
      <c r="L329" s="855"/>
      <c r="M329" s="855"/>
      <c r="N329" s="855"/>
      <c r="O329" s="855"/>
      <c r="P329" s="855"/>
      <c r="Q329" s="855"/>
      <c r="R329" s="855"/>
      <c r="S329" s="855"/>
      <c r="T329" s="855"/>
      <c r="U329" s="855"/>
      <c r="V329" s="855"/>
      <c r="W329" s="855"/>
      <c r="X329" s="855"/>
      <c r="Y329" s="855"/>
      <c r="Z329" s="855"/>
      <c r="AA329" s="855"/>
      <c r="AB329" s="855"/>
    </row>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c r="A349" s="856"/>
    </row>
    <row r="350" ht="12.75">
      <c r="A350" s="856"/>
    </row>
    <row r="351" spans="1:6" ht="12.75">
      <c r="A351" s="856"/>
      <c r="B351" s="856"/>
      <c r="C351" s="856"/>
      <c r="D351" s="857"/>
      <c r="E351" s="857"/>
      <c r="F351" s="857"/>
    </row>
    <row r="352" spans="1:6" ht="12.75">
      <c r="A352" s="856"/>
      <c r="B352" s="856"/>
      <c r="C352" s="856"/>
      <c r="D352" s="857"/>
      <c r="E352" s="857"/>
      <c r="F352" s="857"/>
    </row>
    <row r="353" spans="1:6" ht="12.75">
      <c r="A353" s="856"/>
      <c r="B353" s="856"/>
      <c r="C353" s="856"/>
      <c r="D353" s="857"/>
      <c r="E353" s="857"/>
      <c r="F353" s="857"/>
    </row>
    <row r="354" spans="1:6" ht="12.75">
      <c r="A354" s="856"/>
      <c r="B354" s="856"/>
      <c r="C354" s="856"/>
      <c r="D354" s="857"/>
      <c r="E354" s="857"/>
      <c r="F354" s="857"/>
    </row>
    <row r="355" spans="1:6" ht="12.75">
      <c r="A355" s="856"/>
      <c r="B355" s="856"/>
      <c r="C355" s="856"/>
      <c r="D355" s="857"/>
      <c r="E355" s="857"/>
      <c r="F355" s="857"/>
    </row>
    <row r="356" spans="1:6" ht="12.75">
      <c r="A356" s="856"/>
      <c r="B356" s="856"/>
      <c r="C356" s="856"/>
      <c r="D356" s="857"/>
      <c r="E356" s="857"/>
      <c r="F356" s="857"/>
    </row>
    <row r="357" spans="1:6" ht="12.75">
      <c r="A357" s="856"/>
      <c r="B357" s="856"/>
      <c r="C357" s="856"/>
      <c r="D357" s="857"/>
      <c r="E357" s="857"/>
      <c r="F357" s="857"/>
    </row>
    <row r="358" spans="2:6" ht="12.75">
      <c r="B358" s="856"/>
      <c r="C358" s="856"/>
      <c r="D358" s="857"/>
      <c r="E358" s="857"/>
      <c r="F358" s="857"/>
    </row>
    <row r="359" spans="2:6" ht="12.75">
      <c r="B359" s="856"/>
      <c r="C359" s="856"/>
      <c r="D359" s="857"/>
      <c r="E359" s="857"/>
      <c r="F359" s="857"/>
    </row>
  </sheetData>
  <sheetProtection/>
  <mergeCells count="3">
    <mergeCell ref="A1:J1"/>
    <mergeCell ref="A3:J3"/>
    <mergeCell ref="D107:E107"/>
  </mergeCells>
  <printOptions horizontalCentered="1"/>
  <pageMargins left="0.25" right="0.25" top="1" bottom="0.5" header="0.5" footer="0.5"/>
  <pageSetup fitToHeight="0" fitToWidth="1" horizontalDpi="600" verticalDpi="600" orientation="landscape" scale="42" r:id="rId1"/>
  <headerFooter alignWithMargins="0">
    <oddHeader>&amp;L&amp;"Arial,Bold"&amp;11
&amp;R&amp;12Exhibit 1
Page &amp;P of &amp;N
</oddHeader>
  </headerFooter>
  <rowBreaks count="2" manualBreakCount="2">
    <brk id="61" max="26" man="1"/>
    <brk id="141" max="26" man="1"/>
  </rowBreaks>
  <ignoredErrors>
    <ignoredError sqref="F124:F135" formula="1"/>
  </ignoredErrors>
</worksheet>
</file>

<file path=xl/worksheets/sheet8.xml><?xml version="1.0" encoding="utf-8"?>
<worksheet xmlns="http://schemas.openxmlformats.org/spreadsheetml/2006/main" xmlns:r="http://schemas.openxmlformats.org/officeDocument/2006/relationships">
  <sheetPr codeName="Sheet8">
    <pageSetUpPr fitToPage="1"/>
  </sheetPr>
  <dimension ref="A2:BL314"/>
  <sheetViews>
    <sheetView showGridLines="0" zoomScale="70" zoomScaleNormal="70" zoomScaleSheetLayoutView="44" workbookViewId="0" topLeftCell="A1">
      <selection activeCell="A1" sqref="A1"/>
    </sheetView>
  </sheetViews>
  <sheetFormatPr defaultColWidth="9.140625" defaultRowHeight="12.75"/>
  <cols>
    <col min="1" max="1" width="9.140625" style="223" customWidth="1"/>
    <col min="2" max="2" width="47.7109375" style="331" customWidth="1"/>
    <col min="3" max="3" width="17.00390625" style="0" customWidth="1"/>
    <col min="4" max="4" width="16.421875" style="223" customWidth="1"/>
    <col min="5" max="5" width="13.00390625" style="223" customWidth="1"/>
    <col min="6" max="6" width="14.140625" style="0" customWidth="1"/>
    <col min="7" max="7" width="14.00390625" style="0" customWidth="1"/>
    <col min="8" max="8" width="13.7109375" style="0" customWidth="1"/>
    <col min="9" max="9" width="16.57421875" style="0" customWidth="1"/>
    <col min="10" max="10" width="13.57421875" style="0" customWidth="1"/>
    <col min="11" max="11" width="12.140625" style="0" customWidth="1"/>
    <col min="12" max="12" width="16.7109375" style="345" customWidth="1"/>
    <col min="13" max="13" width="16.57421875" style="345" customWidth="1"/>
    <col min="14" max="14" width="13.57421875" style="345" customWidth="1"/>
    <col min="15" max="15" width="13.421875" style="345" customWidth="1"/>
    <col min="16" max="16" width="16.7109375" style="345" customWidth="1"/>
    <col min="17" max="17" width="13.28125" style="0" customWidth="1"/>
    <col min="18" max="18" width="16.8515625" style="0" customWidth="1"/>
    <col min="19" max="19" width="13.421875" style="0" customWidth="1"/>
    <col min="20" max="20" width="13.7109375" style="0" customWidth="1"/>
    <col min="21" max="21" width="12.00390625" style="0" customWidth="1"/>
    <col min="22" max="22" width="15.28125" style="0" bestFit="1" customWidth="1"/>
    <col min="23" max="23" width="11.28125" style="0" customWidth="1"/>
    <col min="24" max="24" width="10.28125" style="0" customWidth="1"/>
    <col min="25" max="25" width="12.00390625" style="0" customWidth="1"/>
    <col min="26" max="26" width="15.421875" style="0" customWidth="1"/>
    <col min="27" max="27" width="13.7109375" style="0" customWidth="1"/>
    <col min="28" max="28" width="12.28125" style="0" customWidth="1"/>
    <col min="29" max="29" width="12.00390625" style="0" customWidth="1"/>
    <col min="30" max="30" width="15.421875" style="0" customWidth="1"/>
    <col min="31" max="31" width="13.7109375" style="0" customWidth="1"/>
    <col min="32" max="32" width="12.28125" style="0" customWidth="1"/>
    <col min="33" max="33" width="17.28125" style="0" customWidth="1"/>
    <col min="34" max="34" width="15.421875" style="0" customWidth="1"/>
    <col min="35" max="35" width="13.7109375" style="0" customWidth="1"/>
    <col min="36" max="36" width="12.28125" style="0" customWidth="1"/>
    <col min="37" max="37" width="16.57421875" style="0" customWidth="1"/>
    <col min="38" max="38" width="14.00390625" style="0" customWidth="1"/>
    <col min="39" max="39" width="14.421875" style="0" customWidth="1"/>
    <col min="40" max="40" width="16.7109375" style="0" customWidth="1"/>
    <col min="41" max="41" width="12.00390625" style="0" customWidth="1"/>
    <col min="42" max="42" width="15.421875" style="0" customWidth="1"/>
    <col min="43" max="43" width="13.7109375" style="0" customWidth="1"/>
    <col min="44" max="44" width="12.28125" style="0" customWidth="1"/>
    <col min="45" max="45" width="12.00390625" style="0" bestFit="1" customWidth="1"/>
    <col min="46" max="46" width="15.28125" style="0" bestFit="1" customWidth="1"/>
    <col min="47" max="47" width="11.57421875" style="0" bestFit="1" customWidth="1"/>
    <col min="48" max="48" width="10.7109375" style="0" customWidth="1"/>
    <col min="49" max="49" width="13.7109375" style="0" bestFit="1" customWidth="1"/>
    <col min="50" max="50" width="14.140625" style="0" customWidth="1"/>
    <col min="51" max="51" width="13.57421875" style="0" customWidth="1"/>
    <col min="52" max="52" width="9.7109375" style="0" bestFit="1" customWidth="1"/>
    <col min="53" max="64" width="9.140625" style="0" customWidth="1"/>
  </cols>
  <sheetData>
    <row r="2" spans="3:51" ht="18">
      <c r="C2" s="1079" t="s">
        <v>264</v>
      </c>
      <c r="D2" s="1079"/>
      <c r="E2" s="1079"/>
      <c r="F2" s="1079"/>
      <c r="G2" s="1079"/>
      <c r="H2" s="1079"/>
      <c r="I2" s="1079"/>
      <c r="J2" s="1079"/>
      <c r="K2" s="1079"/>
      <c r="L2" s="1079"/>
      <c r="M2" s="1079"/>
      <c r="N2" s="1079"/>
      <c r="O2" s="1079"/>
      <c r="P2" s="1079"/>
      <c r="Q2" s="1079"/>
      <c r="R2" s="1079"/>
      <c r="S2" s="1079"/>
      <c r="T2" s="1079"/>
      <c r="U2" s="1079"/>
      <c r="V2" s="1079"/>
      <c r="W2" s="1079"/>
      <c r="X2" s="1079"/>
      <c r="Y2" s="1079"/>
      <c r="Z2" s="1079"/>
      <c r="AA2" s="1079"/>
      <c r="AB2" s="1079"/>
      <c r="AC2" s="1079"/>
      <c r="AD2" s="1079"/>
      <c r="AE2" s="1079"/>
      <c r="AF2" s="1079"/>
      <c r="AG2" s="1079"/>
      <c r="AH2" s="1079"/>
      <c r="AI2" s="1079"/>
      <c r="AJ2" s="1079"/>
      <c r="AK2" s="1079"/>
      <c r="AL2" s="1079"/>
      <c r="AM2" s="1079"/>
      <c r="AN2" s="1079"/>
      <c r="AO2" s="1079"/>
      <c r="AP2" s="1079"/>
      <c r="AQ2" s="1079"/>
      <c r="AR2" s="1079"/>
      <c r="AS2" s="1079"/>
      <c r="AT2" s="1079"/>
      <c r="AU2" s="1079"/>
      <c r="AV2" s="1079"/>
      <c r="AW2" s="1079"/>
      <c r="AX2" s="1079"/>
      <c r="AY2" s="1079"/>
    </row>
    <row r="3" ht="12.75"/>
    <row r="4" ht="12.75"/>
    <row r="5" spans="1:3" ht="12.75">
      <c r="A5" s="223">
        <v>1</v>
      </c>
      <c r="C5" t="s">
        <v>58</v>
      </c>
    </row>
    <row r="6" ht="12.75"/>
    <row r="7" spans="1:3" ht="12.75">
      <c r="A7" s="223">
        <v>2</v>
      </c>
      <c r="C7" s="253" t="s">
        <v>271</v>
      </c>
    </row>
    <row r="8" spans="3:4" ht="12.75">
      <c r="C8" s="253"/>
      <c r="D8" s="223" t="s">
        <v>57</v>
      </c>
    </row>
    <row r="9" spans="1:18" ht="12.75">
      <c r="A9" s="223">
        <v>3</v>
      </c>
      <c r="C9" s="223" t="s">
        <v>365</v>
      </c>
      <c r="D9" s="223">
        <f>+'Appendix A'!A234</f>
        <v>137</v>
      </c>
      <c r="F9" s="331" t="str">
        <f>'Appendix A'!C234</f>
        <v>Net Plant Carrying Charge without Depreciation</v>
      </c>
      <c r="R9" s="346">
        <f>+'Appendix A'!H234</f>
        <v>0.13730365555307275</v>
      </c>
    </row>
    <row r="10" spans="1:18" ht="12.75">
      <c r="A10" s="223">
        <v>4</v>
      </c>
      <c r="C10" s="223" t="s">
        <v>477</v>
      </c>
      <c r="D10" s="223">
        <f>+'Appendix A'!A243</f>
        <v>144</v>
      </c>
      <c r="F10" s="331" t="str">
        <f>+'Appendix A'!C243</f>
        <v>Net Plant Carrying Charge per 100 Basis Point in ROE without Depreciation</v>
      </c>
      <c r="R10" s="346">
        <f>+'Appendix A'!H243</f>
        <v>0.1452834359189914</v>
      </c>
    </row>
    <row r="11" spans="1:18" ht="12.75">
      <c r="A11" s="223">
        <v>5</v>
      </c>
      <c r="B11" s="223"/>
      <c r="C11" s="223" t="s">
        <v>348</v>
      </c>
      <c r="F11" t="s">
        <v>35</v>
      </c>
      <c r="R11" s="346">
        <f>+R10-R9</f>
        <v>0.007979780365918648</v>
      </c>
    </row>
    <row r="12" spans="1:18" ht="12.75">
      <c r="A12"/>
      <c r="B12" s="223"/>
      <c r="R12" s="346"/>
    </row>
    <row r="13" spans="1:18" ht="12.75">
      <c r="A13" s="223">
        <v>6</v>
      </c>
      <c r="B13" s="223"/>
      <c r="C13" s="253" t="s">
        <v>33</v>
      </c>
      <c r="R13" s="346"/>
    </row>
    <row r="14" spans="1:18" ht="12.75">
      <c r="A14" s="253"/>
      <c r="B14" s="223"/>
      <c r="C14" s="253"/>
      <c r="R14" s="346"/>
    </row>
    <row r="15" spans="1:21" ht="12.75">
      <c r="A15" s="223">
        <v>7</v>
      </c>
      <c r="C15" s="223" t="s">
        <v>366</v>
      </c>
      <c r="D15" s="223">
        <f>+'Appendix A'!A235</f>
        <v>138</v>
      </c>
      <c r="F15" s="331" t="str">
        <f>+'Appendix A'!C235</f>
        <v>Net Plant Carrying Charge without Depreciation, Return, nor Income Taxes</v>
      </c>
      <c r="R15" s="346">
        <f>+'Appendix A'!H235</f>
        <v>0.0243168157742359</v>
      </c>
      <c r="U15" s="251"/>
    </row>
    <row r="16" spans="3:21" ht="12.75">
      <c r="C16" s="223"/>
      <c r="F16" s="331"/>
      <c r="R16" s="346"/>
      <c r="U16" s="251"/>
    </row>
    <row r="17" ht="15.75">
      <c r="C17" s="430"/>
    </row>
    <row r="18" spans="1:3" ht="12.75">
      <c r="A18" s="223">
        <v>8</v>
      </c>
      <c r="C18" s="238" t="s">
        <v>307</v>
      </c>
    </row>
    <row r="19" spans="1:3" ht="12.75">
      <c r="A19" s="223">
        <v>9</v>
      </c>
      <c r="C19" s="238" t="s">
        <v>255</v>
      </c>
    </row>
    <row r="20" spans="3:64" ht="25.5" customHeight="1" thickBot="1">
      <c r="C20" s="431"/>
      <c r="D20" s="390"/>
      <c r="E20" s="390"/>
      <c r="F20" s="326"/>
      <c r="G20" s="326"/>
      <c r="H20" s="326"/>
      <c r="I20" s="326"/>
      <c r="J20" s="326"/>
      <c r="K20" s="326"/>
      <c r="L20" s="326"/>
      <c r="M20" s="326"/>
      <c r="N20" s="326"/>
      <c r="O20" s="326"/>
      <c r="P20" s="326"/>
      <c r="Q20" s="326"/>
      <c r="R20" s="326"/>
      <c r="S20" s="326"/>
      <c r="T20" s="326"/>
      <c r="U20" s="326"/>
      <c r="V20" s="326"/>
      <c r="W20" s="326"/>
      <c r="X20" s="326"/>
      <c r="Y20" s="326"/>
      <c r="Z20" s="326"/>
      <c r="AA20" s="326"/>
      <c r="AB20" s="326"/>
      <c r="AC20" s="326"/>
      <c r="AD20" s="326"/>
      <c r="AE20" s="326"/>
      <c r="AF20" s="326"/>
      <c r="AG20" s="326"/>
      <c r="AH20" s="326"/>
      <c r="AI20" s="326"/>
      <c r="AJ20" s="326"/>
      <c r="AK20" s="326"/>
      <c r="AL20" s="326"/>
      <c r="AM20" s="326"/>
      <c r="AN20" s="326"/>
      <c r="AO20" s="326"/>
      <c r="AP20" s="326"/>
      <c r="AQ20" s="326"/>
      <c r="AR20" s="326"/>
      <c r="AS20" s="326"/>
      <c r="AT20" s="326"/>
      <c r="AU20" s="326"/>
      <c r="AV20" s="326"/>
      <c r="AW20" s="326"/>
      <c r="AX20" s="326"/>
      <c r="AY20" s="326"/>
      <c r="AZ20" s="2"/>
      <c r="BA20" s="2"/>
      <c r="BB20" s="2"/>
      <c r="BC20" s="2"/>
      <c r="BD20" s="2"/>
      <c r="BE20" s="2"/>
      <c r="BF20" s="2"/>
      <c r="BG20" s="2"/>
      <c r="BH20" s="2"/>
      <c r="BI20" s="2"/>
      <c r="BJ20" s="2"/>
      <c r="BK20" s="2"/>
      <c r="BL20" s="2"/>
    </row>
    <row r="21" spans="1:51" ht="13.5" thickBot="1">
      <c r="A21" s="223">
        <v>10</v>
      </c>
      <c r="C21" s="432" t="s">
        <v>30</v>
      </c>
      <c r="D21" s="277"/>
      <c r="E21" s="1162" t="s">
        <v>416</v>
      </c>
      <c r="F21" s="1163"/>
      <c r="G21" s="1163"/>
      <c r="H21" s="1163"/>
      <c r="I21" s="1162" t="s">
        <v>138</v>
      </c>
      <c r="J21" s="1163"/>
      <c r="K21" s="1163"/>
      <c r="L21" s="1163"/>
      <c r="M21" s="1162" t="s">
        <v>139</v>
      </c>
      <c r="N21" s="1163"/>
      <c r="O21" s="1163"/>
      <c r="P21" s="1164"/>
      <c r="Q21" s="1162" t="s">
        <v>326</v>
      </c>
      <c r="R21" s="1165"/>
      <c r="S21" s="1165"/>
      <c r="T21" s="1166"/>
      <c r="U21" s="1162" t="s">
        <v>327</v>
      </c>
      <c r="V21" s="1163"/>
      <c r="W21" s="1163"/>
      <c r="X21" s="1164"/>
      <c r="Y21" s="1162" t="s">
        <v>438</v>
      </c>
      <c r="Z21" s="1163"/>
      <c r="AA21" s="1163"/>
      <c r="AB21" s="1164"/>
      <c r="AC21" s="1162" t="s">
        <v>633</v>
      </c>
      <c r="AD21" s="1163"/>
      <c r="AE21" s="1163"/>
      <c r="AF21" s="1164"/>
      <c r="AG21" s="1162" t="s">
        <v>137</v>
      </c>
      <c r="AH21" s="1163"/>
      <c r="AI21" s="1163"/>
      <c r="AJ21" s="1164"/>
      <c r="AK21" s="1162" t="s">
        <v>140</v>
      </c>
      <c r="AL21" s="1163"/>
      <c r="AM21" s="1163"/>
      <c r="AN21" s="1164"/>
      <c r="AO21" s="1162" t="s">
        <v>643</v>
      </c>
      <c r="AP21" s="1163"/>
      <c r="AQ21" s="1163"/>
      <c r="AR21" s="1164"/>
      <c r="AS21" s="1162" t="s">
        <v>103</v>
      </c>
      <c r="AT21" s="1163"/>
      <c r="AU21" s="1163"/>
      <c r="AV21" s="1164"/>
      <c r="AW21" s="543"/>
      <c r="AX21" s="276"/>
      <c r="AY21" s="311"/>
    </row>
    <row r="22" spans="1:51" ht="25.5">
      <c r="A22" s="223">
        <f aca="true" t="shared" si="0" ref="A22:A52">+A21+1</f>
        <v>11</v>
      </c>
      <c r="B22" s="224" t="s">
        <v>230</v>
      </c>
      <c r="C22" s="304" t="s">
        <v>168</v>
      </c>
      <c r="D22" s="281" t="s">
        <v>360</v>
      </c>
      <c r="E22" s="541" t="s">
        <v>226</v>
      </c>
      <c r="F22" s="539"/>
      <c r="G22" s="538"/>
      <c r="H22" s="540"/>
      <c r="I22" s="351" t="s">
        <v>226</v>
      </c>
      <c r="J22" s="394"/>
      <c r="K22" s="394"/>
      <c r="L22" s="395"/>
      <c r="M22" s="351" t="s">
        <v>226</v>
      </c>
      <c r="N22" s="394"/>
      <c r="O22" s="394"/>
      <c r="P22" s="395"/>
      <c r="Q22" s="351" t="s">
        <v>226</v>
      </c>
      <c r="R22" s="394"/>
      <c r="S22" s="394"/>
      <c r="T22" s="395"/>
      <c r="U22" s="351" t="s">
        <v>226</v>
      </c>
      <c r="V22" s="394"/>
      <c r="W22" s="394"/>
      <c r="X22" s="395"/>
      <c r="Y22" s="351" t="s">
        <v>226</v>
      </c>
      <c r="Z22" s="394"/>
      <c r="AA22" s="394"/>
      <c r="AB22" s="395"/>
      <c r="AC22" s="351" t="s">
        <v>226</v>
      </c>
      <c r="AD22" s="394"/>
      <c r="AE22" s="394"/>
      <c r="AF22" s="395"/>
      <c r="AG22" s="351" t="s">
        <v>226</v>
      </c>
      <c r="AH22" s="394"/>
      <c r="AI22" s="394"/>
      <c r="AJ22" s="395"/>
      <c r="AK22" s="351" t="s">
        <v>226</v>
      </c>
      <c r="AL22" s="394"/>
      <c r="AM22" s="394"/>
      <c r="AN22" s="395"/>
      <c r="AO22" s="351" t="s">
        <v>226</v>
      </c>
      <c r="AP22" s="394"/>
      <c r="AQ22" s="394"/>
      <c r="AR22" s="395"/>
      <c r="AS22" s="351" t="s">
        <v>226</v>
      </c>
      <c r="AT22" s="394"/>
      <c r="AU22" s="394"/>
      <c r="AV22" s="395"/>
      <c r="AW22" s="544"/>
      <c r="AX22" s="266"/>
      <c r="AY22" s="265"/>
    </row>
    <row r="23" spans="1:51" ht="12.75">
      <c r="A23" s="223">
        <f t="shared" si="0"/>
        <v>12</v>
      </c>
      <c r="B23" s="224" t="s">
        <v>231</v>
      </c>
      <c r="C23" s="304" t="s">
        <v>28</v>
      </c>
      <c r="D23" s="281"/>
      <c r="E23" s="547">
        <v>42</v>
      </c>
      <c r="F23" s="467"/>
      <c r="G23" s="281"/>
      <c r="H23" s="283"/>
      <c r="I23" s="547">
        <v>42</v>
      </c>
      <c r="J23" s="467"/>
      <c r="K23" s="281"/>
      <c r="L23" s="282"/>
      <c r="M23" s="547">
        <v>42</v>
      </c>
      <c r="N23" s="467"/>
      <c r="O23" s="281"/>
      <c r="P23" s="282"/>
      <c r="Q23" s="547">
        <v>42</v>
      </c>
      <c r="R23" s="286"/>
      <c r="S23" s="281"/>
      <c r="T23" s="283"/>
      <c r="U23" s="547">
        <v>42</v>
      </c>
      <c r="V23" s="286"/>
      <c r="W23" s="281"/>
      <c r="X23" s="283"/>
      <c r="Y23" s="547">
        <v>42</v>
      </c>
      <c r="Z23" s="286"/>
      <c r="AA23" s="281"/>
      <c r="AB23" s="283"/>
      <c r="AC23" s="547">
        <v>42</v>
      </c>
      <c r="AD23" s="286"/>
      <c r="AE23" s="281"/>
      <c r="AF23" s="283"/>
      <c r="AG23" s="547">
        <v>42</v>
      </c>
      <c r="AH23" s="286"/>
      <c r="AI23" s="281"/>
      <c r="AJ23" s="283"/>
      <c r="AK23" s="547">
        <v>42</v>
      </c>
      <c r="AL23" s="286"/>
      <c r="AM23" s="281"/>
      <c r="AN23" s="283"/>
      <c r="AO23" s="547">
        <v>42</v>
      </c>
      <c r="AP23" s="286"/>
      <c r="AQ23" s="281"/>
      <c r="AR23" s="283"/>
      <c r="AS23" s="547">
        <v>42</v>
      </c>
      <c r="AT23" s="286"/>
      <c r="AU23" s="281"/>
      <c r="AV23" s="283"/>
      <c r="AW23" s="544"/>
      <c r="AX23" s="266"/>
      <c r="AY23" s="265"/>
    </row>
    <row r="24" spans="1:51" ht="38.25">
      <c r="A24" s="223">
        <f t="shared" si="0"/>
        <v>13</v>
      </c>
      <c r="B24" s="224" t="s">
        <v>235</v>
      </c>
      <c r="C24" s="304" t="s">
        <v>29</v>
      </c>
      <c r="D24" s="281" t="s">
        <v>360</v>
      </c>
      <c r="E24" s="351" t="s">
        <v>631</v>
      </c>
      <c r="F24" s="252"/>
      <c r="G24" s="269"/>
      <c r="H24" s="922"/>
      <c r="I24" s="351" t="s">
        <v>631</v>
      </c>
      <c r="J24" s="281"/>
      <c r="K24" s="269"/>
      <c r="L24" s="922"/>
      <c r="M24" s="351" t="s">
        <v>631</v>
      </c>
      <c r="N24" s="281"/>
      <c r="O24" s="269"/>
      <c r="P24" s="922"/>
      <c r="Q24" s="351" t="s">
        <v>631</v>
      </c>
      <c r="R24" s="281"/>
      <c r="S24" s="269"/>
      <c r="T24" s="924"/>
      <c r="U24" s="351" t="s">
        <v>631</v>
      </c>
      <c r="V24" s="281"/>
      <c r="W24" s="281"/>
      <c r="X24" s="283"/>
      <c r="Y24" s="351" t="s">
        <v>631</v>
      </c>
      <c r="Z24" s="281"/>
      <c r="AA24" s="281"/>
      <c r="AB24" s="283"/>
      <c r="AC24" s="351" t="s">
        <v>631</v>
      </c>
      <c r="AD24" s="281"/>
      <c r="AE24" s="281"/>
      <c r="AF24" s="283"/>
      <c r="AG24" s="351" t="s">
        <v>631</v>
      </c>
      <c r="AH24" s="281"/>
      <c r="AI24" s="281"/>
      <c r="AJ24" s="283"/>
      <c r="AK24" s="351" t="s">
        <v>631</v>
      </c>
      <c r="AL24" s="281"/>
      <c r="AM24" s="281"/>
      <c r="AN24" s="283"/>
      <c r="AO24" s="351" t="s">
        <v>631</v>
      </c>
      <c r="AP24" s="281"/>
      <c r="AQ24" s="281"/>
      <c r="AR24" s="283"/>
      <c r="AS24" s="351" t="s">
        <v>631</v>
      </c>
      <c r="AT24" s="281"/>
      <c r="AU24" s="281"/>
      <c r="AV24" s="283"/>
      <c r="AW24" s="544"/>
      <c r="AX24" s="266"/>
      <c r="AY24" s="919"/>
    </row>
    <row r="25" spans="1:51" ht="13.5">
      <c r="A25" s="223">
        <f t="shared" si="0"/>
        <v>14</v>
      </c>
      <c r="B25" s="224" t="s">
        <v>236</v>
      </c>
      <c r="C25" s="304" t="s">
        <v>186</v>
      </c>
      <c r="D25" s="281"/>
      <c r="E25" s="351">
        <v>125</v>
      </c>
      <c r="F25" s="607"/>
      <c r="G25" s="269"/>
      <c r="H25" s="923"/>
      <c r="I25" s="351">
        <v>125</v>
      </c>
      <c r="J25" s="608"/>
      <c r="K25" s="269"/>
      <c r="L25" s="923"/>
      <c r="M25" s="351">
        <v>125</v>
      </c>
      <c r="N25" s="608"/>
      <c r="O25" s="269"/>
      <c r="P25" s="923"/>
      <c r="Q25" s="351">
        <v>0</v>
      </c>
      <c r="R25" s="473"/>
      <c r="S25" s="474"/>
      <c r="T25" s="923"/>
      <c r="U25" s="351">
        <v>0</v>
      </c>
      <c r="V25" s="473"/>
      <c r="W25" s="474"/>
      <c r="X25" s="475"/>
      <c r="Y25" s="351">
        <v>0</v>
      </c>
      <c r="Z25" s="473"/>
      <c r="AA25" s="474"/>
      <c r="AB25" s="475"/>
      <c r="AC25" s="351">
        <v>125</v>
      </c>
      <c r="AD25" s="473"/>
      <c r="AE25" s="474"/>
      <c r="AF25" s="475"/>
      <c r="AG25" s="351">
        <v>125</v>
      </c>
      <c r="AH25" s="473"/>
      <c r="AI25" s="474"/>
      <c r="AJ25" s="475"/>
      <c r="AK25" s="351">
        <v>125</v>
      </c>
      <c r="AL25" s="473"/>
      <c r="AM25" s="474"/>
      <c r="AN25" s="475"/>
      <c r="AO25" s="351">
        <v>0</v>
      </c>
      <c r="AP25" s="473"/>
      <c r="AQ25" s="474"/>
      <c r="AR25" s="475"/>
      <c r="AS25" s="351">
        <v>0</v>
      </c>
      <c r="AT25" s="473"/>
      <c r="AU25" s="474"/>
      <c r="AV25" s="475"/>
      <c r="AW25" s="544"/>
      <c r="AX25" s="304"/>
      <c r="AY25" s="921"/>
    </row>
    <row r="26" spans="1:51" ht="25.5">
      <c r="A26" s="223">
        <f t="shared" si="0"/>
        <v>15</v>
      </c>
      <c r="B26" s="224" t="s">
        <v>692</v>
      </c>
      <c r="C26" s="304" t="str">
        <f>'Appendix A'!H176*100&amp;"% ROE"</f>
        <v>11.68% ROE</v>
      </c>
      <c r="D26" s="269"/>
      <c r="E26" s="617">
        <f>$R$9</f>
        <v>0.13730365555307275</v>
      </c>
      <c r="F26" s="252"/>
      <c r="G26" s="234"/>
      <c r="H26" s="924"/>
      <c r="I26" s="617">
        <f>$R$9</f>
        <v>0.13730365555307275</v>
      </c>
      <c r="J26" s="233"/>
      <c r="K26" s="234"/>
      <c r="L26" s="924"/>
      <c r="M26" s="617">
        <f>$R$9</f>
        <v>0.13730365555307275</v>
      </c>
      <c r="N26" s="233"/>
      <c r="O26" s="234"/>
      <c r="P26" s="924"/>
      <c r="Q26" s="617">
        <f>$R$9</f>
        <v>0.13730365555307275</v>
      </c>
      <c r="R26" s="281"/>
      <c r="S26" s="269"/>
      <c r="T26" s="924"/>
      <c r="U26" s="617">
        <f>$R$9</f>
        <v>0.13730365555307275</v>
      </c>
      <c r="V26" s="281"/>
      <c r="W26" s="281"/>
      <c r="X26" s="283"/>
      <c r="Y26" s="617">
        <f>$R$9</f>
        <v>0.13730365555307275</v>
      </c>
      <c r="Z26" s="281"/>
      <c r="AA26" s="281"/>
      <c r="AB26" s="283"/>
      <c r="AC26" s="617">
        <f>$R$9</f>
        <v>0.13730365555307275</v>
      </c>
      <c r="AD26" s="281"/>
      <c r="AE26" s="281"/>
      <c r="AF26" s="283"/>
      <c r="AG26" s="617">
        <f>$R$9</f>
        <v>0.13730365555307275</v>
      </c>
      <c r="AH26" s="281"/>
      <c r="AI26" s="281"/>
      <c r="AJ26" s="283"/>
      <c r="AK26" s="617">
        <f>$R$9</f>
        <v>0.13730365555307275</v>
      </c>
      <c r="AL26" s="281"/>
      <c r="AM26" s="281"/>
      <c r="AN26" s="283"/>
      <c r="AO26" s="617">
        <f>+$R9</f>
        <v>0.13730365555307275</v>
      </c>
      <c r="AP26" s="281"/>
      <c r="AQ26" s="281"/>
      <c r="AR26" s="283"/>
      <c r="AS26" s="617">
        <f>+$R9</f>
        <v>0.13730365555307275</v>
      </c>
      <c r="AT26" s="281"/>
      <c r="AU26" s="281"/>
      <c r="AV26" s="283"/>
      <c r="AW26" s="544"/>
      <c r="AX26" s="304"/>
      <c r="AY26" s="922"/>
    </row>
    <row r="27" spans="1:51" ht="12.75">
      <c r="A27" s="223">
        <f t="shared" si="0"/>
        <v>16</v>
      </c>
      <c r="B27" s="224" t="s">
        <v>237</v>
      </c>
      <c r="C27" s="490" t="s">
        <v>34</v>
      </c>
      <c r="D27" s="269"/>
      <c r="E27" s="617">
        <f>(E$25/100*$R$11)+E$26</f>
        <v>0.14727838101047105</v>
      </c>
      <c r="F27" s="252"/>
      <c r="G27" s="233"/>
      <c r="H27" s="920"/>
      <c r="I27" s="617">
        <f>(I$25/100*$R$11)+I$26</f>
        <v>0.14727838101047105</v>
      </c>
      <c r="J27" s="233"/>
      <c r="K27" s="233"/>
      <c r="L27" s="920"/>
      <c r="M27" s="617">
        <f>(M$25/100*$R$11)+M$26</f>
        <v>0.14727838101047105</v>
      </c>
      <c r="N27" s="233"/>
      <c r="O27" s="233"/>
      <c r="P27" s="920"/>
      <c r="Q27" s="617">
        <f>(Q$25/100*$R$11)+Q$26</f>
        <v>0.13730365555307275</v>
      </c>
      <c r="R27" s="233"/>
      <c r="S27" s="233"/>
      <c r="T27" s="920"/>
      <c r="U27" s="617">
        <f>(U$25/100*$R$11)+U$26</f>
        <v>0.13730365555307275</v>
      </c>
      <c r="V27" s="233"/>
      <c r="W27" s="233"/>
      <c r="X27" s="265"/>
      <c r="Y27" s="617">
        <f>(Y$25/100*$R$11)+Y$26</f>
        <v>0.13730365555307275</v>
      </c>
      <c r="Z27" s="233"/>
      <c r="AA27" s="233"/>
      <c r="AB27" s="265"/>
      <c r="AC27" s="617">
        <f>(AC$25/100*$R$11)+AC$26</f>
        <v>0.14727838101047105</v>
      </c>
      <c r="AD27" s="233"/>
      <c r="AE27" s="233"/>
      <c r="AF27" s="265"/>
      <c r="AG27" s="617">
        <f>(AG$25/100*$R$11)+AG$26</f>
        <v>0.14727838101047105</v>
      </c>
      <c r="AH27" s="233"/>
      <c r="AI27" s="233"/>
      <c r="AJ27" s="265"/>
      <c r="AK27" s="617">
        <f>(AK$25/100*$R$11)+AK$26</f>
        <v>0.14727838101047105</v>
      </c>
      <c r="AL27" s="233"/>
      <c r="AM27" s="233"/>
      <c r="AN27" s="265"/>
      <c r="AO27" s="617">
        <f>($R9+$R11/100*AO25)</f>
        <v>0.13730365555307275</v>
      </c>
      <c r="AP27" s="233"/>
      <c r="AQ27" s="233"/>
      <c r="AR27" s="265"/>
      <c r="AS27" s="617">
        <f>($R9+$R11/100*AS25)</f>
        <v>0.13730365555307275</v>
      </c>
      <c r="AT27" s="233"/>
      <c r="AU27" s="233"/>
      <c r="AV27" s="265"/>
      <c r="AW27" s="544"/>
      <c r="AX27" s="304"/>
      <c r="AY27" s="925"/>
    </row>
    <row r="28" spans="1:51" ht="40.5" customHeight="1">
      <c r="A28" s="223">
        <f t="shared" si="0"/>
        <v>17</v>
      </c>
      <c r="B28" s="535" t="s">
        <v>227</v>
      </c>
      <c r="C28" s="304" t="s">
        <v>238</v>
      </c>
      <c r="D28" s="281"/>
      <c r="E28" s="542">
        <f>'6- Est &amp; Reconcile WS'!V164</f>
        <v>1417772</v>
      </c>
      <c r="F28" s="286"/>
      <c r="G28" s="252"/>
      <c r="H28" s="284"/>
      <c r="I28" s="352">
        <f>I36+5190623+18420165+25327092+179270331+388141907</f>
        <v>618057987.5699999</v>
      </c>
      <c r="J28" s="286"/>
      <c r="K28" s="286"/>
      <c r="L28" s="284"/>
      <c r="M28" s="352">
        <f>'6- Est &amp; Reconcile WS'!J161</f>
        <v>1073528</v>
      </c>
      <c r="N28" s="286"/>
      <c r="O28" s="286"/>
      <c r="P28" s="284"/>
      <c r="Q28" s="352">
        <v>86626</v>
      </c>
      <c r="R28" s="286"/>
      <c r="S28" s="286"/>
      <c r="T28" s="284"/>
      <c r="U28" s="352">
        <v>62067</v>
      </c>
      <c r="V28" s="286"/>
      <c r="W28" s="286"/>
      <c r="X28" s="284"/>
      <c r="Y28" s="352">
        <v>123504</v>
      </c>
      <c r="Z28" s="286"/>
      <c r="AA28" s="286"/>
      <c r="AB28" s="284"/>
      <c r="AC28" s="352">
        <f>'6- Est &amp; Reconcile WS'!T164</f>
        <v>-274179</v>
      </c>
      <c r="AD28" s="286"/>
      <c r="AE28" s="286"/>
      <c r="AF28" s="284"/>
      <c r="AG28" s="1053">
        <f>2138192.69+485698+219588+391439+5786948+5963580</f>
        <v>14985445.69</v>
      </c>
      <c r="AH28" s="286"/>
      <c r="AI28" s="286"/>
      <c r="AJ28" s="284"/>
      <c r="AK28" s="1053">
        <f>'6- Est &amp; Reconcile WS'!H161</f>
        <v>0</v>
      </c>
      <c r="AL28" s="286"/>
      <c r="AM28" s="286"/>
      <c r="AN28" s="284"/>
      <c r="AO28" s="352">
        <v>3733895</v>
      </c>
      <c r="AP28" s="286"/>
      <c r="AQ28" s="286"/>
      <c r="AR28" s="284"/>
      <c r="AS28" s="352">
        <f>918555+21744877+72351</f>
        <v>22735783</v>
      </c>
      <c r="AT28" s="286"/>
      <c r="AU28" s="286"/>
      <c r="AV28" s="284"/>
      <c r="AW28" s="544"/>
      <c r="AX28" s="266"/>
      <c r="AY28" s="265"/>
    </row>
    <row r="29" spans="1:51" ht="12.75">
      <c r="A29" s="223">
        <f t="shared" si="0"/>
        <v>18</v>
      </c>
      <c r="B29" s="224" t="s">
        <v>239</v>
      </c>
      <c r="C29" s="266" t="s">
        <v>48</v>
      </c>
      <c r="D29" s="281"/>
      <c r="E29" s="285">
        <v>0</v>
      </c>
      <c r="F29" s="252"/>
      <c r="G29" s="286"/>
      <c r="H29" s="284"/>
      <c r="I29" s="285">
        <f>IF(I28=0,0,I28/I23)</f>
        <v>14715666.370714284</v>
      </c>
      <c r="J29" s="286"/>
      <c r="K29" s="286"/>
      <c r="L29" s="284"/>
      <c r="M29" s="285">
        <f>IF(M28=0,0,M28/M23)</f>
        <v>25560.190476190477</v>
      </c>
      <c r="N29" s="286"/>
      <c r="O29" s="286"/>
      <c r="P29" s="284"/>
      <c r="Q29" s="285">
        <f>IF(Q28=0,0,Q28/Q23)</f>
        <v>2062.5238095238096</v>
      </c>
      <c r="R29" s="286"/>
      <c r="S29" s="286"/>
      <c r="T29" s="284"/>
      <c r="U29" s="285">
        <f>IF(U28=0,0,U28/U23)</f>
        <v>1477.7857142857142</v>
      </c>
      <c r="V29" s="286"/>
      <c r="W29" s="286"/>
      <c r="X29" s="284"/>
      <c r="Y29" s="285">
        <f>IF(Y28=0,0,Y28/Y23)</f>
        <v>2940.5714285714284</v>
      </c>
      <c r="Z29" s="286"/>
      <c r="AA29" s="286"/>
      <c r="AB29" s="284"/>
      <c r="AC29" s="285">
        <v>0</v>
      </c>
      <c r="AD29" s="286"/>
      <c r="AE29" s="286"/>
      <c r="AF29" s="284"/>
      <c r="AG29" s="285">
        <f>IF(AG28=0,0,AG28/AG23)</f>
        <v>356796.32595238095</v>
      </c>
      <c r="AH29" s="286"/>
      <c r="AI29" s="286"/>
      <c r="AJ29" s="284"/>
      <c r="AK29" s="285">
        <f>IF(AK28=0,0,AK28/AK23)</f>
        <v>0</v>
      </c>
      <c r="AL29" s="286"/>
      <c r="AM29" s="286"/>
      <c r="AN29" s="284"/>
      <c r="AO29" s="285">
        <f>IF(AO28=0,0,AO28/AO23)</f>
        <v>88902.26190476191</v>
      </c>
      <c r="AP29" s="286"/>
      <c r="AQ29" s="286"/>
      <c r="AR29" s="284"/>
      <c r="AS29" s="285">
        <f>IF(AS28=0,0,AS28/AS23)</f>
        <v>541328.1666666666</v>
      </c>
      <c r="AT29" s="286"/>
      <c r="AU29" s="286"/>
      <c r="AV29" s="284"/>
      <c r="AW29" s="544"/>
      <c r="AX29" s="266"/>
      <c r="AY29" s="265"/>
    </row>
    <row r="30" spans="1:51" s="2" customFormat="1" ht="13.5" thickBot="1">
      <c r="A30" s="223">
        <f t="shared" si="0"/>
        <v>19</v>
      </c>
      <c r="B30" s="224" t="s">
        <v>240</v>
      </c>
      <c r="C30" s="304" t="str">
        <f>+'6- Est &amp; Reconcile WS'!P50</f>
        <v>Month In Service or Month for CWIP</v>
      </c>
      <c r="D30" s="269"/>
      <c r="E30" s="468">
        <v>0</v>
      </c>
      <c r="F30" s="310"/>
      <c r="G30" s="305"/>
      <c r="H30" s="306"/>
      <c r="I30" s="468"/>
      <c r="J30" s="305"/>
      <c r="K30" s="305"/>
      <c r="L30" s="306"/>
      <c r="M30" s="468">
        <f>'6- Est &amp; Reconcile WS'!W165</f>
        <v>9.596863798615406</v>
      </c>
      <c r="N30" s="305"/>
      <c r="O30" s="305"/>
      <c r="P30" s="306"/>
      <c r="Q30" s="468"/>
      <c r="R30" s="305"/>
      <c r="S30" s="305"/>
      <c r="T30" s="306"/>
      <c r="U30" s="468"/>
      <c r="V30" s="305"/>
      <c r="W30" s="305"/>
      <c r="X30" s="306"/>
      <c r="Y30" s="468"/>
      <c r="Z30" s="305"/>
      <c r="AA30" s="305"/>
      <c r="AB30" s="306"/>
      <c r="AC30" s="468"/>
      <c r="AD30" s="305"/>
      <c r="AE30" s="305"/>
      <c r="AF30" s="306"/>
      <c r="AG30" s="468"/>
      <c r="AH30" s="305"/>
      <c r="AI30" s="305"/>
      <c r="AJ30" s="306"/>
      <c r="AK30" s="468">
        <f>'6- Est &amp; Reconcile WS'!U165</f>
        <v>0</v>
      </c>
      <c r="AL30" s="305"/>
      <c r="AM30" s="305"/>
      <c r="AN30" s="306"/>
      <c r="AO30" s="468"/>
      <c r="AP30" s="305"/>
      <c r="AQ30" s="305"/>
      <c r="AR30" s="306"/>
      <c r="AS30" s="468"/>
      <c r="AT30" s="305"/>
      <c r="AU30" s="305"/>
      <c r="AV30" s="306"/>
      <c r="AW30" s="1061"/>
      <c r="AX30" s="594"/>
      <c r="AY30" s="553"/>
    </row>
    <row r="31" spans="1:51" ht="25.5">
      <c r="A31" s="223">
        <f>+A30+1</f>
        <v>20</v>
      </c>
      <c r="C31" s="543"/>
      <c r="D31" s="287" t="s">
        <v>31</v>
      </c>
      <c r="E31" s="278" t="s">
        <v>50</v>
      </c>
      <c r="F31" s="279" t="s">
        <v>51</v>
      </c>
      <c r="G31" s="279" t="s">
        <v>52</v>
      </c>
      <c r="H31" s="469" t="s">
        <v>49</v>
      </c>
      <c r="I31" s="278" t="s">
        <v>50</v>
      </c>
      <c r="J31" s="279" t="s">
        <v>51</v>
      </c>
      <c r="K31" s="279" t="s">
        <v>52</v>
      </c>
      <c r="L31" s="280" t="s">
        <v>49</v>
      </c>
      <c r="M31" s="278" t="s">
        <v>50</v>
      </c>
      <c r="N31" s="279" t="s">
        <v>51</v>
      </c>
      <c r="O31" s="279" t="s">
        <v>52</v>
      </c>
      <c r="P31" s="280" t="s">
        <v>49</v>
      </c>
      <c r="Q31" s="278" t="s">
        <v>50</v>
      </c>
      <c r="R31" s="279" t="s">
        <v>51</v>
      </c>
      <c r="S31" s="279" t="s">
        <v>52</v>
      </c>
      <c r="T31" s="280" t="s">
        <v>49</v>
      </c>
      <c r="U31" s="278" t="s">
        <v>50</v>
      </c>
      <c r="V31" s="279" t="s">
        <v>51</v>
      </c>
      <c r="W31" s="279" t="s">
        <v>52</v>
      </c>
      <c r="X31" s="280" t="s">
        <v>49</v>
      </c>
      <c r="Y31" s="278" t="s">
        <v>50</v>
      </c>
      <c r="Z31" s="279" t="s">
        <v>51</v>
      </c>
      <c r="AA31" s="279" t="s">
        <v>52</v>
      </c>
      <c r="AB31" s="280" t="s">
        <v>49</v>
      </c>
      <c r="AC31" s="278" t="s">
        <v>50</v>
      </c>
      <c r="AD31" s="279" t="s">
        <v>51</v>
      </c>
      <c r="AE31" s="279" t="s">
        <v>52</v>
      </c>
      <c r="AF31" s="280" t="s">
        <v>49</v>
      </c>
      <c r="AG31" s="278" t="s">
        <v>50</v>
      </c>
      <c r="AH31" s="279" t="s">
        <v>51</v>
      </c>
      <c r="AI31" s="279" t="s">
        <v>52</v>
      </c>
      <c r="AJ31" s="280" t="s">
        <v>49</v>
      </c>
      <c r="AK31" s="278" t="s">
        <v>50</v>
      </c>
      <c r="AL31" s="279" t="s">
        <v>51</v>
      </c>
      <c r="AM31" s="279" t="s">
        <v>52</v>
      </c>
      <c r="AN31" s="280" t="s">
        <v>49</v>
      </c>
      <c r="AO31" s="278" t="s">
        <v>50</v>
      </c>
      <c r="AP31" s="279" t="s">
        <v>51</v>
      </c>
      <c r="AQ31" s="279" t="s">
        <v>52</v>
      </c>
      <c r="AR31" s="280" t="s">
        <v>49</v>
      </c>
      <c r="AS31" s="278" t="s">
        <v>50</v>
      </c>
      <c r="AT31" s="279" t="s">
        <v>51</v>
      </c>
      <c r="AU31" s="279" t="s">
        <v>52</v>
      </c>
      <c r="AV31" s="280" t="s">
        <v>49</v>
      </c>
      <c r="AW31" s="301" t="s">
        <v>476</v>
      </c>
      <c r="AX31" s="595" t="s">
        <v>55</v>
      </c>
      <c r="AY31" s="596" t="s">
        <v>56</v>
      </c>
    </row>
    <row r="32" spans="1:51" ht="12.75">
      <c r="A32" s="223">
        <f t="shared" si="0"/>
        <v>21</v>
      </c>
      <c r="C32" s="544" t="str">
        <f>"W  "&amp;'Appendix A'!H176*100&amp;" % ROE"</f>
        <v>W  11.68 % ROE</v>
      </c>
      <c r="D32" s="545">
        <v>2008</v>
      </c>
      <c r="E32" s="291">
        <v>5534456</v>
      </c>
      <c r="F32" s="286">
        <v>0</v>
      </c>
      <c r="G32" s="289">
        <v>5534456</v>
      </c>
      <c r="H32" s="286">
        <v>433645.65155021515</v>
      </c>
      <c r="I32" s="291">
        <v>0</v>
      </c>
      <c r="J32" s="286">
        <v>0</v>
      </c>
      <c r="K32" s="289">
        <f aca="true" t="shared" si="1" ref="K32:K71">+I32-J32</f>
        <v>0</v>
      </c>
      <c r="L32" s="286">
        <f>+I$26*K32*(13-I30)/12+J32</f>
        <v>0</v>
      </c>
      <c r="M32" s="291">
        <v>0</v>
      </c>
      <c r="N32" s="286">
        <v>0</v>
      </c>
      <c r="O32" s="289">
        <f aca="true" t="shared" si="2" ref="O32:O37">+M32-N32</f>
        <v>0</v>
      </c>
      <c r="P32" s="284">
        <f>+M$26*O32*(13-M30)/12+N32</f>
        <v>0</v>
      </c>
      <c r="Q32" s="291">
        <v>86626</v>
      </c>
      <c r="R32" s="286">
        <v>1454.0654761904764</v>
      </c>
      <c r="S32" s="289">
        <v>85171.93452380953</v>
      </c>
      <c r="T32" s="286">
        <v>12920.671023184163</v>
      </c>
      <c r="U32" s="291">
        <v>62067</v>
      </c>
      <c r="V32" s="286">
        <v>990.8482142857142</v>
      </c>
      <c r="W32" s="289">
        <v>61076.15178571428</v>
      </c>
      <c r="X32" s="286">
        <v>8811.099382343671</v>
      </c>
      <c r="Y32" s="291">
        <f>+Y28*0</f>
        <v>0</v>
      </c>
      <c r="Z32" s="286">
        <f>+Y$29/12*(13-Y$30)*0</f>
        <v>0</v>
      </c>
      <c r="AA32" s="289">
        <f>+Y32-Z32</f>
        <v>0</v>
      </c>
      <c r="AB32" s="286">
        <f>+Y$26*AA32*(13-Y30)/12+Z32</f>
        <v>0</v>
      </c>
      <c r="AC32" s="291">
        <f>+AC28*0</f>
        <v>0</v>
      </c>
      <c r="AD32" s="286">
        <f>+AC$29/12*(13-AC$30)*0</f>
        <v>0</v>
      </c>
      <c r="AE32" s="289">
        <f>+AC32-AD32</f>
        <v>0</v>
      </c>
      <c r="AF32" s="284">
        <f>+AC$26*AE32*(13-AC30)/12+AD32</f>
        <v>0</v>
      </c>
      <c r="AG32" s="291">
        <f>+AG28*0</f>
        <v>0</v>
      </c>
      <c r="AH32" s="286">
        <f>+AG$29/12*(13-AG$30)*0</f>
        <v>0</v>
      </c>
      <c r="AI32" s="289">
        <f aca="true" t="shared" si="3" ref="AI32:AI71">+AG32-AH32</f>
        <v>0</v>
      </c>
      <c r="AJ32" s="286">
        <f>+AG$26*AI32*(13-AG30)/12+AH32</f>
        <v>0</v>
      </c>
      <c r="AK32" s="291">
        <f>+AK28*0</f>
        <v>0</v>
      </c>
      <c r="AL32" s="286">
        <f>+AK$29/12*(13-AK$30)*0</f>
        <v>0</v>
      </c>
      <c r="AM32" s="289">
        <f>+AK32-AL32</f>
        <v>0</v>
      </c>
      <c r="AN32" s="286">
        <f>+AK$26*AM32*(13-AK30)/12+AL32</f>
        <v>0</v>
      </c>
      <c r="AO32" s="291">
        <v>0</v>
      </c>
      <c r="AP32" s="286">
        <v>0</v>
      </c>
      <c r="AQ32" s="289">
        <v>0</v>
      </c>
      <c r="AR32" s="286">
        <v>0</v>
      </c>
      <c r="AS32" s="291">
        <v>0</v>
      </c>
      <c r="AT32" s="286">
        <v>0</v>
      </c>
      <c r="AU32" s="289">
        <v>0</v>
      </c>
      <c r="AV32" s="284">
        <v>0</v>
      </c>
      <c r="AW32" s="302">
        <f>+T32+L32+H32+X32+AB32</f>
        <v>455377.42195574293</v>
      </c>
      <c r="AX32" s="266"/>
      <c r="AY32" s="290">
        <f>+AW32</f>
        <v>455377.42195574293</v>
      </c>
    </row>
    <row r="33" spans="1:52" ht="12.75">
      <c r="A33" s="223">
        <f t="shared" si="0"/>
        <v>22</v>
      </c>
      <c r="C33" s="544" t="s">
        <v>187</v>
      </c>
      <c r="D33" s="545">
        <f>D32</f>
        <v>2008</v>
      </c>
      <c r="E33" s="291">
        <v>5534456</v>
      </c>
      <c r="F33" s="286">
        <v>0</v>
      </c>
      <c r="G33" s="289">
        <v>5534456</v>
      </c>
      <c r="H33" s="284">
        <v>453741.64599778363</v>
      </c>
      <c r="I33" s="291">
        <f>+I32</f>
        <v>0</v>
      </c>
      <c r="J33" s="286">
        <f>+J32</f>
        <v>0</v>
      </c>
      <c r="K33" s="289">
        <f t="shared" si="1"/>
        <v>0</v>
      </c>
      <c r="L33" s="284">
        <f>+I$27*K33*(13-I30)/12+J33</f>
        <v>0</v>
      </c>
      <c r="M33" s="291">
        <f>+M32</f>
        <v>0</v>
      </c>
      <c r="N33" s="286">
        <f>+N32</f>
        <v>0</v>
      </c>
      <c r="O33" s="289">
        <f t="shared" si="2"/>
        <v>0</v>
      </c>
      <c r="P33" s="284">
        <f>+M$27*O33*(13-M30)/12+N33</f>
        <v>0</v>
      </c>
      <c r="Q33" s="291">
        <v>86626</v>
      </c>
      <c r="R33" s="286">
        <v>1454.0654761904764</v>
      </c>
      <c r="S33" s="289">
        <v>85171.93452380953</v>
      </c>
      <c r="T33" s="284">
        <v>12920.671023184163</v>
      </c>
      <c r="U33" s="291">
        <v>62067</v>
      </c>
      <c r="V33" s="286">
        <v>990.8482142857142</v>
      </c>
      <c r="W33" s="289">
        <v>61076.15178571428</v>
      </c>
      <c r="X33" s="284">
        <v>8811.099382343671</v>
      </c>
      <c r="Y33" s="291">
        <f>+Y32</f>
        <v>0</v>
      </c>
      <c r="Z33" s="286">
        <f>+Z32</f>
        <v>0</v>
      </c>
      <c r="AA33" s="289">
        <f>+Y33-Z33</f>
        <v>0</v>
      </c>
      <c r="AB33" s="284">
        <f>+Y$27*AA33*(13-Y30)/12+Z33</f>
        <v>0</v>
      </c>
      <c r="AC33" s="291">
        <f>+AC32</f>
        <v>0</v>
      </c>
      <c r="AD33" s="286">
        <f>+AD32</f>
        <v>0</v>
      </c>
      <c r="AE33" s="289">
        <f>+AC33-AD33</f>
        <v>0</v>
      </c>
      <c r="AF33" s="284">
        <f>+AC$27*AE33*(13-AC30)/12+AD33</f>
        <v>0</v>
      </c>
      <c r="AG33" s="291">
        <f>+AG32</f>
        <v>0</v>
      </c>
      <c r="AH33" s="286">
        <f>+AH32</f>
        <v>0</v>
      </c>
      <c r="AI33" s="289">
        <f t="shared" si="3"/>
        <v>0</v>
      </c>
      <c r="AJ33" s="284">
        <f>+AG$27*AI33*(13-AG30)/12+AH33</f>
        <v>0</v>
      </c>
      <c r="AK33" s="291">
        <f>+AK32</f>
        <v>0</v>
      </c>
      <c r="AL33" s="286">
        <f>+AL32</f>
        <v>0</v>
      </c>
      <c r="AM33" s="289">
        <f>+AK33-AL33</f>
        <v>0</v>
      </c>
      <c r="AN33" s="284">
        <f>+AK$27*AM33*(13-AK30)/12+AL33</f>
        <v>0</v>
      </c>
      <c r="AO33" s="291">
        <v>0</v>
      </c>
      <c r="AP33" s="286">
        <v>0</v>
      </c>
      <c r="AQ33" s="289">
        <v>0</v>
      </c>
      <c r="AR33" s="284">
        <v>0</v>
      </c>
      <c r="AS33" s="291">
        <v>0</v>
      </c>
      <c r="AT33" s="286">
        <v>0</v>
      </c>
      <c r="AU33" s="289">
        <v>0</v>
      </c>
      <c r="AV33" s="284">
        <v>0</v>
      </c>
      <c r="AW33" s="302">
        <f>+T33+L33+H33+X33+AB33</f>
        <v>475473.4164033114</v>
      </c>
      <c r="AX33" s="597">
        <f>+AW33</f>
        <v>475473.4164033114</v>
      </c>
      <c r="AY33" s="265"/>
      <c r="AZ33" s="472"/>
    </row>
    <row r="34" spans="1:51" ht="12.75">
      <c r="A34" s="223">
        <f t="shared" si="0"/>
        <v>23</v>
      </c>
      <c r="C34" s="544" t="str">
        <f aca="true" t="shared" si="4" ref="C34:C71">+C32</f>
        <v>W  11.68 % ROE</v>
      </c>
      <c r="D34" s="288">
        <f aca="true" t="shared" si="5" ref="D34:D71">+D32+1</f>
        <v>2009</v>
      </c>
      <c r="E34" s="289">
        <v>25703638</v>
      </c>
      <c r="F34" s="286">
        <v>0</v>
      </c>
      <c r="G34" s="289">
        <v>25703638</v>
      </c>
      <c r="H34" s="286">
        <v>3744759.4878937476</v>
      </c>
      <c r="I34" s="291">
        <f>+I$28*0</f>
        <v>0</v>
      </c>
      <c r="J34" s="289">
        <f>+I$29*0</f>
        <v>0</v>
      </c>
      <c r="K34" s="289">
        <f t="shared" si="1"/>
        <v>0</v>
      </c>
      <c r="L34" s="284">
        <f>+I$26*K34+J34</f>
        <v>0</v>
      </c>
      <c r="M34" s="291">
        <f>+M$28*0</f>
        <v>0</v>
      </c>
      <c r="N34" s="289">
        <f>+M$29*0</f>
        <v>0</v>
      </c>
      <c r="O34" s="289">
        <f t="shared" si="2"/>
        <v>0</v>
      </c>
      <c r="P34" s="284">
        <f>+M$26*O34+N34</f>
        <v>0</v>
      </c>
      <c r="Q34" s="291">
        <v>85171.93452380953</v>
      </c>
      <c r="R34" s="289">
        <v>2062.5238095238096</v>
      </c>
      <c r="S34" s="289">
        <v>83109.41071428571</v>
      </c>
      <c r="T34" s="284">
        <v>19835.566348901677</v>
      </c>
      <c r="U34" s="291">
        <v>61076.15178571428</v>
      </c>
      <c r="V34" s="289">
        <v>1477.7857142857142</v>
      </c>
      <c r="W34" s="289">
        <v>59598.366071428565</v>
      </c>
      <c r="X34" s="284">
        <v>14222.964465539219</v>
      </c>
      <c r="Y34" s="291">
        <v>123504</v>
      </c>
      <c r="Z34" s="286">
        <v>2940.5714285714284</v>
      </c>
      <c r="AA34" s="289">
        <v>120563.42857142857</v>
      </c>
      <c r="AB34" s="286">
        <v>28723.19852551608</v>
      </c>
      <c r="AC34" s="291">
        <v>395068</v>
      </c>
      <c r="AD34" s="289">
        <v>0</v>
      </c>
      <c r="AE34" s="289">
        <v>395068</v>
      </c>
      <c r="AF34" s="284">
        <v>43820.13094452909</v>
      </c>
      <c r="AG34" s="291">
        <v>0</v>
      </c>
      <c r="AH34" s="289">
        <f>+AG$29*0</f>
        <v>0</v>
      </c>
      <c r="AI34" s="289">
        <f t="shared" si="3"/>
        <v>0</v>
      </c>
      <c r="AJ34" s="286">
        <f>+AG$26*AI34*(13-AG30)/12+AH34</f>
        <v>0</v>
      </c>
      <c r="AK34" s="291">
        <v>0</v>
      </c>
      <c r="AL34" s="289">
        <f>+AK$29*0</f>
        <v>0</v>
      </c>
      <c r="AM34" s="289">
        <f>+AK34-AL34</f>
        <v>0</v>
      </c>
      <c r="AN34" s="286">
        <f>+AK$26*AM34*(13-AK30)/12+AL34</f>
        <v>0</v>
      </c>
      <c r="AO34" s="291">
        <v>0</v>
      </c>
      <c r="AP34" s="289">
        <v>0</v>
      </c>
      <c r="AQ34" s="289">
        <v>0</v>
      </c>
      <c r="AR34" s="286">
        <v>0</v>
      </c>
      <c r="AS34" s="291">
        <v>0</v>
      </c>
      <c r="AT34" s="289">
        <v>0</v>
      </c>
      <c r="AU34" s="289">
        <v>0</v>
      </c>
      <c r="AV34" s="284">
        <v>0</v>
      </c>
      <c r="AW34" s="302">
        <f>+T34+L34+H34+X34+AB34+AF34+AJ34</f>
        <v>3851361.3481782335</v>
      </c>
      <c r="AX34" s="266"/>
      <c r="AY34" s="290">
        <f>+AW34</f>
        <v>3851361.3481782335</v>
      </c>
    </row>
    <row r="35" spans="1:51" ht="12.75">
      <c r="A35" s="223">
        <f t="shared" si="0"/>
        <v>24</v>
      </c>
      <c r="C35" s="544" t="str">
        <f t="shared" si="4"/>
        <v>W Increased ROE</v>
      </c>
      <c r="D35" s="288">
        <f t="shared" si="5"/>
        <v>2009</v>
      </c>
      <c r="E35" s="289">
        <v>25703638</v>
      </c>
      <c r="F35" s="286">
        <v>0</v>
      </c>
      <c r="G35" s="289">
        <v>25703638</v>
      </c>
      <c r="H35" s="284">
        <v>3928396.826808914</v>
      </c>
      <c r="I35" s="291">
        <f>+I34</f>
        <v>0</v>
      </c>
      <c r="J35" s="289">
        <f>+J34</f>
        <v>0</v>
      </c>
      <c r="K35" s="289">
        <f t="shared" si="1"/>
        <v>0</v>
      </c>
      <c r="L35" s="284">
        <f>+I$27*K35+J35</f>
        <v>0</v>
      </c>
      <c r="M35" s="291">
        <f>+M34</f>
        <v>0</v>
      </c>
      <c r="N35" s="289">
        <f>+N34</f>
        <v>0</v>
      </c>
      <c r="O35" s="289">
        <f t="shared" si="2"/>
        <v>0</v>
      </c>
      <c r="P35" s="284">
        <f>+M$27*O35+N35</f>
        <v>0</v>
      </c>
      <c r="Q35" s="291">
        <v>85171.93452380953</v>
      </c>
      <c r="R35" s="289">
        <v>2062.5238095238096</v>
      </c>
      <c r="S35" s="289">
        <v>83109.41071428571</v>
      </c>
      <c r="T35" s="284">
        <v>19835.566348901677</v>
      </c>
      <c r="U35" s="291">
        <v>61076.15178571428</v>
      </c>
      <c r="V35" s="289">
        <v>1477.7857142857142</v>
      </c>
      <c r="W35" s="289">
        <v>59598.366071428565</v>
      </c>
      <c r="X35" s="284">
        <v>14222.964465539219</v>
      </c>
      <c r="Y35" s="291">
        <v>123504</v>
      </c>
      <c r="Z35" s="286">
        <v>2940.5714285714284</v>
      </c>
      <c r="AA35" s="289">
        <v>120563.42857142857</v>
      </c>
      <c r="AB35" s="284">
        <v>28723.19852551608</v>
      </c>
      <c r="AC35" s="291">
        <v>395068</v>
      </c>
      <c r="AD35" s="289">
        <v>0</v>
      </c>
      <c r="AE35" s="289">
        <v>395068</v>
      </c>
      <c r="AF35" s="284">
        <v>45969.003859754295</v>
      </c>
      <c r="AG35" s="291">
        <f>+AG34</f>
        <v>0</v>
      </c>
      <c r="AH35" s="289">
        <f>+AH34</f>
        <v>0</v>
      </c>
      <c r="AI35" s="289">
        <f t="shared" si="3"/>
        <v>0</v>
      </c>
      <c r="AJ35" s="284">
        <f>+AG$27*AI35*(13-AG30)/12+AH35</f>
        <v>0</v>
      </c>
      <c r="AK35" s="291">
        <f>+AK34</f>
        <v>0</v>
      </c>
      <c r="AL35" s="289">
        <f>+AL34</f>
        <v>0</v>
      </c>
      <c r="AM35" s="289">
        <f>+AK35-AL35</f>
        <v>0</v>
      </c>
      <c r="AN35" s="284">
        <f>+AK$27*AM35*(13-AK30)/12+AL35</f>
        <v>0</v>
      </c>
      <c r="AO35" s="291">
        <v>0</v>
      </c>
      <c r="AP35" s="289">
        <v>0</v>
      </c>
      <c r="AQ35" s="289">
        <v>0</v>
      </c>
      <c r="AR35" s="284">
        <v>0</v>
      </c>
      <c r="AS35" s="291">
        <v>0</v>
      </c>
      <c r="AT35" s="289">
        <v>0</v>
      </c>
      <c r="AU35" s="289">
        <v>0</v>
      </c>
      <c r="AV35" s="284">
        <v>0</v>
      </c>
      <c r="AW35" s="302">
        <f>+T35+L35+H35+X35+AB35+AF35+AJ35</f>
        <v>4037147.560008625</v>
      </c>
      <c r="AX35" s="597">
        <f>+AW35</f>
        <v>4037147.560008625</v>
      </c>
      <c r="AY35" s="265"/>
    </row>
    <row r="36" spans="1:51" ht="12.75">
      <c r="A36" s="223">
        <f t="shared" si="0"/>
        <v>25</v>
      </c>
      <c r="C36" s="544" t="str">
        <f t="shared" si="4"/>
        <v>W  11.68 % ROE</v>
      </c>
      <c r="D36" s="288">
        <f t="shared" si="5"/>
        <v>2010</v>
      </c>
      <c r="E36" s="289">
        <v>32334326.39458333</v>
      </c>
      <c r="F36" s="289">
        <v>0</v>
      </c>
      <c r="G36" s="289">
        <v>32334326.39458333</v>
      </c>
      <c r="H36" s="286">
        <v>7002386.406821715</v>
      </c>
      <c r="I36" s="291">
        <v>1707869.57</v>
      </c>
      <c r="J36" s="286">
        <v>17350.162946428572</v>
      </c>
      <c r="K36" s="289">
        <v>1690519.4070535714</v>
      </c>
      <c r="L36" s="284">
        <v>173557.18858301287</v>
      </c>
      <c r="M36" s="291">
        <f>+M$28*0</f>
        <v>0</v>
      </c>
      <c r="N36" s="289">
        <f>+M$29*0</f>
        <v>0</v>
      </c>
      <c r="O36" s="289">
        <f t="shared" si="2"/>
        <v>0</v>
      </c>
      <c r="P36" s="284">
        <f>+M$26*O36+N36</f>
        <v>0</v>
      </c>
      <c r="Q36" s="291">
        <v>83109.41071428571</v>
      </c>
      <c r="R36" s="289">
        <v>2062.5238095238096</v>
      </c>
      <c r="S36" s="289">
        <v>81046.8869047619</v>
      </c>
      <c r="T36" s="284">
        <v>19614.199766880174</v>
      </c>
      <c r="U36" s="291">
        <v>59598.366071428565</v>
      </c>
      <c r="V36" s="289">
        <v>1477.7857142857142</v>
      </c>
      <c r="W36" s="289">
        <v>58120.58035714285</v>
      </c>
      <c r="X36" s="284">
        <v>14064.494863038053</v>
      </c>
      <c r="Y36" s="291">
        <v>120563.42857142857</v>
      </c>
      <c r="Z36" s="289">
        <v>2940.5714285714284</v>
      </c>
      <c r="AA36" s="289">
        <v>117622.85714285713</v>
      </c>
      <c r="AB36" s="284">
        <v>28413.212668645385</v>
      </c>
      <c r="AC36" s="291">
        <v>983013.8762500001</v>
      </c>
      <c r="AD36" s="289">
        <v>0</v>
      </c>
      <c r="AE36" s="289">
        <v>983013.8762500001</v>
      </c>
      <c r="AF36" s="284">
        <v>212883.45149887653</v>
      </c>
      <c r="AG36" s="291">
        <v>2138192.69</v>
      </c>
      <c r="AH36" s="286">
        <v>15476.001339285718</v>
      </c>
      <c r="AI36" s="289">
        <v>2122716.6886607143</v>
      </c>
      <c r="AJ36" s="284">
        <v>155220.75014319783</v>
      </c>
      <c r="AK36" s="291">
        <v>0</v>
      </c>
      <c r="AL36" s="286">
        <v>0</v>
      </c>
      <c r="AM36" s="289">
        <v>0</v>
      </c>
      <c r="AN36" s="284">
        <v>0</v>
      </c>
      <c r="AO36" s="291">
        <v>0</v>
      </c>
      <c r="AP36" s="289">
        <v>0</v>
      </c>
      <c r="AQ36" s="289">
        <v>0</v>
      </c>
      <c r="AR36" s="286">
        <v>0</v>
      </c>
      <c r="AS36" s="291">
        <v>0</v>
      </c>
      <c r="AT36" s="289">
        <v>0</v>
      </c>
      <c r="AU36" s="289">
        <v>0</v>
      </c>
      <c r="AV36" s="284">
        <v>0</v>
      </c>
      <c r="AW36" s="302">
        <f>+T36+L36+H36+X36+AB36+AF36+AJ36</f>
        <v>7606139.704345364</v>
      </c>
      <c r="AX36" s="266"/>
      <c r="AY36" s="290">
        <f>+AW36</f>
        <v>7606139.704345364</v>
      </c>
    </row>
    <row r="37" spans="1:51" ht="12.75">
      <c r="A37" s="223">
        <f t="shared" si="0"/>
        <v>26</v>
      </c>
      <c r="C37" s="544" t="str">
        <f t="shared" si="4"/>
        <v>W Increased ROE</v>
      </c>
      <c r="D37" s="288">
        <f t="shared" si="5"/>
        <v>2010</v>
      </c>
      <c r="E37" s="289">
        <v>32334326.39458333</v>
      </c>
      <c r="F37" s="289">
        <v>0</v>
      </c>
      <c r="G37" s="289">
        <v>32334326.39458333</v>
      </c>
      <c r="H37" s="284">
        <v>7346301.531252484</v>
      </c>
      <c r="I37" s="291">
        <v>1707869.57</v>
      </c>
      <c r="J37" s="289">
        <v>17350.162946428572</v>
      </c>
      <c r="K37" s="289">
        <v>1690519.4070535714</v>
      </c>
      <c r="L37" s="284">
        <v>181229.13862085008</v>
      </c>
      <c r="M37" s="291">
        <f>+M36</f>
        <v>0</v>
      </c>
      <c r="N37" s="289">
        <f>+N36</f>
        <v>0</v>
      </c>
      <c r="O37" s="289">
        <f t="shared" si="2"/>
        <v>0</v>
      </c>
      <c r="P37" s="284">
        <f>+M$27*O37+N37</f>
        <v>0</v>
      </c>
      <c r="Q37" s="291">
        <v>83109.41071428571</v>
      </c>
      <c r="R37" s="289">
        <v>2062.5238095238096</v>
      </c>
      <c r="S37" s="289">
        <v>81046.8869047619</v>
      </c>
      <c r="T37" s="284">
        <v>19614.199766880174</v>
      </c>
      <c r="U37" s="291">
        <v>59598.366071428565</v>
      </c>
      <c r="V37" s="289">
        <v>1477.7857142857142</v>
      </c>
      <c r="W37" s="289">
        <v>58120.58035714285</v>
      </c>
      <c r="X37" s="284">
        <v>14064.494863038053</v>
      </c>
      <c r="Y37" s="291">
        <v>120563.42857142857</v>
      </c>
      <c r="Z37" s="289">
        <v>2940.5714285714284</v>
      </c>
      <c r="AA37" s="289">
        <v>117622.85714285713</v>
      </c>
      <c r="AB37" s="284">
        <v>28413.212668645385</v>
      </c>
      <c r="AC37" s="291">
        <v>983013.8762500001</v>
      </c>
      <c r="AD37" s="289">
        <v>0</v>
      </c>
      <c r="AE37" s="289">
        <v>983013.8762500001</v>
      </c>
      <c r="AF37" s="284">
        <v>223339.00685642764</v>
      </c>
      <c r="AG37" s="291">
        <v>2138192.69</v>
      </c>
      <c r="AH37" s="289">
        <v>15476.001339285718</v>
      </c>
      <c r="AI37" s="289">
        <v>2122716.6886607143</v>
      </c>
      <c r="AJ37" s="284">
        <v>162084.1721084044</v>
      </c>
      <c r="AK37" s="291">
        <v>0</v>
      </c>
      <c r="AL37" s="289">
        <v>0</v>
      </c>
      <c r="AM37" s="289">
        <v>0</v>
      </c>
      <c r="AN37" s="284">
        <v>0</v>
      </c>
      <c r="AO37" s="291">
        <v>0</v>
      </c>
      <c r="AP37" s="289">
        <v>0</v>
      </c>
      <c r="AQ37" s="289">
        <v>0</v>
      </c>
      <c r="AR37" s="284">
        <v>0</v>
      </c>
      <c r="AS37" s="291">
        <v>0</v>
      </c>
      <c r="AT37" s="289">
        <v>0</v>
      </c>
      <c r="AU37" s="289">
        <v>0</v>
      </c>
      <c r="AV37" s="284">
        <v>0</v>
      </c>
      <c r="AW37" s="302">
        <f>+T37+L37+H37+X37+AB37+AF37+AJ37</f>
        <v>7975045.756136729</v>
      </c>
      <c r="AX37" s="597">
        <f>+AW37</f>
        <v>7975045.756136729</v>
      </c>
      <c r="AY37" s="265"/>
    </row>
    <row r="38" spans="1:51" ht="12.75">
      <c r="A38" s="223">
        <f t="shared" si="0"/>
        <v>27</v>
      </c>
      <c r="C38" s="544" t="str">
        <f t="shared" si="4"/>
        <v>W  11.68 % ROE</v>
      </c>
      <c r="D38" s="288">
        <f t="shared" si="5"/>
        <v>2011</v>
      </c>
      <c r="E38" s="289">
        <v>41267822.70916667</v>
      </c>
      <c r="F38" s="289">
        <v>0</v>
      </c>
      <c r="G38" s="289">
        <v>41267822.70916667</v>
      </c>
      <c r="H38" s="286">
        <v>8153564.702710459</v>
      </c>
      <c r="I38" s="291">
        <v>1690519.4070535714</v>
      </c>
      <c r="J38" s="286">
        <v>40663.56119047619</v>
      </c>
      <c r="K38" s="289">
        <v>1649855.8458630953</v>
      </c>
      <c r="L38" s="284">
        <v>366636.81362479355</v>
      </c>
      <c r="M38" s="291">
        <v>0</v>
      </c>
      <c r="N38" s="286">
        <v>0</v>
      </c>
      <c r="O38" s="289">
        <v>0</v>
      </c>
      <c r="P38" s="284">
        <v>0</v>
      </c>
      <c r="Q38" s="291">
        <v>81046.8869047619</v>
      </c>
      <c r="R38" s="289">
        <v>2062.5238095238096</v>
      </c>
      <c r="S38" s="289">
        <v>78984.36309523808</v>
      </c>
      <c r="T38" s="284">
        <v>17668.00218762951</v>
      </c>
      <c r="U38" s="291">
        <v>58120.58035714285</v>
      </c>
      <c r="V38" s="289">
        <v>1477.7857142857142</v>
      </c>
      <c r="W38" s="289">
        <v>56642.79464285713</v>
      </c>
      <c r="X38" s="284">
        <v>12669.088301720016</v>
      </c>
      <c r="Y38" s="291">
        <v>117622.85714285713</v>
      </c>
      <c r="Z38" s="289">
        <v>2940.5714285714284</v>
      </c>
      <c r="AA38" s="289">
        <v>114682.2857142857</v>
      </c>
      <c r="AB38" s="284">
        <v>25599.131426175863</v>
      </c>
      <c r="AC38" s="291">
        <v>338808.71375000005</v>
      </c>
      <c r="AD38" s="289">
        <v>0</v>
      </c>
      <c r="AE38" s="289">
        <v>338808.71375000005</v>
      </c>
      <c r="AF38" s="284">
        <v>66940.74433902976</v>
      </c>
      <c r="AG38" s="291">
        <v>2122716.6886607143</v>
      </c>
      <c r="AH38" s="286">
        <v>50909.34976190476</v>
      </c>
      <c r="AI38" s="289">
        <v>2071807.3388988096</v>
      </c>
      <c r="AJ38" s="284">
        <v>460250.43151249405</v>
      </c>
      <c r="AK38" s="291">
        <v>0</v>
      </c>
      <c r="AL38" s="286">
        <v>0</v>
      </c>
      <c r="AM38" s="289">
        <v>0</v>
      </c>
      <c r="AN38" s="284">
        <v>0</v>
      </c>
      <c r="AO38" s="291">
        <v>3733895.28</v>
      </c>
      <c r="AP38" s="286">
        <v>25673.149543650783</v>
      </c>
      <c r="AQ38" s="289">
        <v>3708222.1304563484</v>
      </c>
      <c r="AR38" s="286">
        <v>237249.9350048884</v>
      </c>
      <c r="AS38" s="291">
        <v>918555</v>
      </c>
      <c r="AT38" s="286">
        <v>11846.44345238095</v>
      </c>
      <c r="AU38" s="289">
        <v>906708.556547619</v>
      </c>
      <c r="AV38" s="284">
        <v>108883.09246923384</v>
      </c>
      <c r="AW38" s="302">
        <f aca="true" t="shared" si="6" ref="AW38:AW43">H38+L38+P38+T38+X38+AB38+AF38+AJ38+AN38+AR38+AV38</f>
        <v>9449461.941576425</v>
      </c>
      <c r="AX38" s="266"/>
      <c r="AY38" s="290">
        <f>+AW38</f>
        <v>9449461.941576425</v>
      </c>
    </row>
    <row r="39" spans="1:51" ht="12.75">
      <c r="A39" s="223">
        <f t="shared" si="0"/>
        <v>28</v>
      </c>
      <c r="C39" s="544" t="str">
        <f t="shared" si="4"/>
        <v>W Increased ROE</v>
      </c>
      <c r="D39" s="288">
        <f t="shared" si="5"/>
        <v>2011</v>
      </c>
      <c r="E39" s="289">
        <v>41267822.70916667</v>
      </c>
      <c r="F39" s="289">
        <v>0</v>
      </c>
      <c r="G39" s="289">
        <v>41267822.70916667</v>
      </c>
      <c r="H39" s="286">
        <v>8573933.934200207</v>
      </c>
      <c r="I39" s="291">
        <v>1690519.4070535714</v>
      </c>
      <c r="J39" s="289">
        <v>40663.56119047619</v>
      </c>
      <c r="K39" s="289">
        <v>1649855.8458630953</v>
      </c>
      <c r="L39" s="284">
        <v>383442.8525302646</v>
      </c>
      <c r="M39" s="291">
        <v>0</v>
      </c>
      <c r="N39" s="286">
        <v>0</v>
      </c>
      <c r="O39" s="289">
        <v>0</v>
      </c>
      <c r="P39" s="284">
        <v>0</v>
      </c>
      <c r="Q39" s="291">
        <v>81046.8869047619</v>
      </c>
      <c r="R39" s="289">
        <v>2062.5238095238096</v>
      </c>
      <c r="S39" s="289">
        <v>78984.36309523808</v>
      </c>
      <c r="T39" s="284">
        <v>17668.00218762951</v>
      </c>
      <c r="U39" s="291">
        <v>58120.58035714285</v>
      </c>
      <c r="V39" s="289">
        <v>1477.7857142857142</v>
      </c>
      <c r="W39" s="289">
        <v>56642.79464285713</v>
      </c>
      <c r="X39" s="284">
        <v>12669.088301720016</v>
      </c>
      <c r="Y39" s="291">
        <v>117622.85714285713</v>
      </c>
      <c r="Z39" s="289">
        <v>2940.5714285714284</v>
      </c>
      <c r="AA39" s="289">
        <v>114682.2857142857</v>
      </c>
      <c r="AB39" s="284">
        <v>25599.131426175863</v>
      </c>
      <c r="AC39" s="291">
        <v>338808.71375000005</v>
      </c>
      <c r="AD39" s="289">
        <v>0</v>
      </c>
      <c r="AE39" s="289">
        <v>338808.71375000005</v>
      </c>
      <c r="AF39" s="284">
        <v>70391.97460200849</v>
      </c>
      <c r="AG39" s="291">
        <v>2122716.6886607143</v>
      </c>
      <c r="AH39" s="289">
        <v>50909.34976190476</v>
      </c>
      <c r="AI39" s="289">
        <v>2071807.3388988096</v>
      </c>
      <c r="AJ39" s="284">
        <v>481354.62363296316</v>
      </c>
      <c r="AK39" s="291">
        <v>0</v>
      </c>
      <c r="AL39" s="289">
        <v>0</v>
      </c>
      <c r="AM39" s="289">
        <v>0</v>
      </c>
      <c r="AN39" s="284">
        <v>0</v>
      </c>
      <c r="AO39" s="291">
        <v>3733895.28</v>
      </c>
      <c r="AP39" s="286">
        <v>25673.149543650783</v>
      </c>
      <c r="AQ39" s="289">
        <v>3708222.1304563484</v>
      </c>
      <c r="AR39" s="284">
        <v>237249.9350048884</v>
      </c>
      <c r="AS39" s="291">
        <v>918555</v>
      </c>
      <c r="AT39" s="286">
        <v>11846.44345238095</v>
      </c>
      <c r="AU39" s="289">
        <v>906708.556547619</v>
      </c>
      <c r="AV39" s="284">
        <v>108883.09246923384</v>
      </c>
      <c r="AW39" s="302">
        <f t="shared" si="6"/>
        <v>9911192.634355092</v>
      </c>
      <c r="AX39" s="597">
        <f>+AW39</f>
        <v>9911192.634355092</v>
      </c>
      <c r="AY39" s="265"/>
    </row>
    <row r="40" spans="1:51" ht="12.75">
      <c r="A40" s="223">
        <f t="shared" si="0"/>
        <v>29</v>
      </c>
      <c r="C40" s="544" t="str">
        <f t="shared" si="4"/>
        <v>W  11.68 % ROE</v>
      </c>
      <c r="D40" s="288">
        <f t="shared" si="5"/>
        <v>2012</v>
      </c>
      <c r="E40" s="289">
        <v>49100120.076249994</v>
      </c>
      <c r="F40" s="289">
        <v>0</v>
      </c>
      <c r="G40" s="289">
        <v>49100120.076249994</v>
      </c>
      <c r="H40" s="286">
        <v>10122907.919957759</v>
      </c>
      <c r="I40" s="291">
        <v>6771104.8458630955</v>
      </c>
      <c r="J40" s="286">
        <v>164249.8230952381</v>
      </c>
      <c r="K40" s="289">
        <v>6606855.022767858</v>
      </c>
      <c r="L40" s="284">
        <v>1526376.5334195162</v>
      </c>
      <c r="M40" s="291">
        <v>0</v>
      </c>
      <c r="N40" s="286">
        <v>0</v>
      </c>
      <c r="O40" s="289">
        <v>0</v>
      </c>
      <c r="P40" s="284">
        <v>0</v>
      </c>
      <c r="Q40" s="291">
        <v>78984.36309523808</v>
      </c>
      <c r="R40" s="289">
        <v>2062.5238095238096</v>
      </c>
      <c r="S40" s="289">
        <v>76921.83928571426</v>
      </c>
      <c r="T40" s="284">
        <v>17921.39940725831</v>
      </c>
      <c r="U40" s="291">
        <v>56642.79464285713</v>
      </c>
      <c r="V40" s="289">
        <v>1477.7857142857142</v>
      </c>
      <c r="W40" s="289">
        <v>55165.00892857141</v>
      </c>
      <c r="X40" s="284">
        <v>12851.083883829131</v>
      </c>
      <c r="Y40" s="291">
        <v>114682.2857142857</v>
      </c>
      <c r="Z40" s="289">
        <v>2940.5714285714284</v>
      </c>
      <c r="AA40" s="289">
        <v>111741.71428571426</v>
      </c>
      <c r="AB40" s="284">
        <v>25978.21538495878</v>
      </c>
      <c r="AC40" s="291">
        <v>362625.7120833334</v>
      </c>
      <c r="AD40" s="289">
        <v>0</v>
      </c>
      <c r="AE40" s="289">
        <v>362625.7120833334</v>
      </c>
      <c r="AF40" s="284">
        <v>74762.07160243377</v>
      </c>
      <c r="AG40" s="291">
        <v>2547287.3388988096</v>
      </c>
      <c r="AH40" s="289">
        <v>62473.587857142855</v>
      </c>
      <c r="AI40" s="289">
        <v>2484813.7510416666</v>
      </c>
      <c r="AJ40" s="284">
        <v>574764.4083475503</v>
      </c>
      <c r="AK40" s="291">
        <v>0</v>
      </c>
      <c r="AL40" s="286">
        <v>0</v>
      </c>
      <c r="AM40" s="289">
        <v>0</v>
      </c>
      <c r="AN40" s="284">
        <v>0</v>
      </c>
      <c r="AO40" s="291">
        <v>3708222.1304563484</v>
      </c>
      <c r="AP40" s="286">
        <v>88902.26190476191</v>
      </c>
      <c r="AQ40" s="289">
        <v>3619319.8685515863</v>
      </c>
      <c r="AR40" s="284">
        <v>835092.7336454482</v>
      </c>
      <c r="AS40" s="291">
        <v>906708.556547619</v>
      </c>
      <c r="AT40" s="286">
        <v>21870.35714285714</v>
      </c>
      <c r="AU40" s="289">
        <v>884838.1994047619</v>
      </c>
      <c r="AV40" s="284">
        <v>204296.29831623207</v>
      </c>
      <c r="AW40" s="302">
        <f t="shared" si="6"/>
        <v>13394950.663964987</v>
      </c>
      <c r="AX40" s="266"/>
      <c r="AY40" s="290">
        <f>+AW40</f>
        <v>13394950.663964987</v>
      </c>
    </row>
    <row r="41" spans="1:51" ht="12.75">
      <c r="A41" s="223">
        <f t="shared" si="0"/>
        <v>30</v>
      </c>
      <c r="C41" s="544" t="str">
        <f t="shared" si="4"/>
        <v>W Increased ROE</v>
      </c>
      <c r="D41" s="288">
        <f t="shared" si="5"/>
        <v>2012</v>
      </c>
      <c r="E41" s="289">
        <v>49100120.076249994</v>
      </c>
      <c r="F41" s="289">
        <v>0</v>
      </c>
      <c r="G41" s="289">
        <v>49100120.076249994</v>
      </c>
      <c r="H41" s="286">
        <v>10644117.279529404</v>
      </c>
      <c r="I41" s="291">
        <v>6771104.8458630955</v>
      </c>
      <c r="J41" s="289">
        <v>164249.8230952381</v>
      </c>
      <c r="K41" s="289">
        <v>6606855.022767858</v>
      </c>
      <c r="L41" s="284">
        <v>1596509.8583452369</v>
      </c>
      <c r="M41" s="291">
        <v>0</v>
      </c>
      <c r="N41" s="286">
        <v>0</v>
      </c>
      <c r="O41" s="289">
        <v>0</v>
      </c>
      <c r="P41" s="284">
        <v>0</v>
      </c>
      <c r="Q41" s="291">
        <v>78984.36309523808</v>
      </c>
      <c r="R41" s="289">
        <v>2062.5238095238096</v>
      </c>
      <c r="S41" s="289">
        <v>76921.83928571426</v>
      </c>
      <c r="T41" s="284">
        <v>17921.39940725831</v>
      </c>
      <c r="U41" s="291">
        <v>56642.79464285713</v>
      </c>
      <c r="V41" s="289">
        <v>1477.7857142857142</v>
      </c>
      <c r="W41" s="289">
        <v>55165.00892857141</v>
      </c>
      <c r="X41" s="284">
        <v>12851.083883829131</v>
      </c>
      <c r="Y41" s="291">
        <v>114682.2857142857</v>
      </c>
      <c r="Z41" s="289">
        <v>2940.5714285714284</v>
      </c>
      <c r="AA41" s="289">
        <v>111741.71428571426</v>
      </c>
      <c r="AB41" s="284">
        <v>25978.21538495878</v>
      </c>
      <c r="AC41" s="291">
        <v>362625.7120833334</v>
      </c>
      <c r="AD41" s="289">
        <v>0</v>
      </c>
      <c r="AE41" s="289">
        <v>362625.7120833334</v>
      </c>
      <c r="AF41" s="284">
        <v>78611.4290961762</v>
      </c>
      <c r="AG41" s="291">
        <v>2547287.3388988096</v>
      </c>
      <c r="AH41" s="289">
        <v>62473.587857142855</v>
      </c>
      <c r="AI41" s="289">
        <v>2484813.7510416666</v>
      </c>
      <c r="AJ41" s="284">
        <v>601141.29259598</v>
      </c>
      <c r="AK41" s="291">
        <v>0</v>
      </c>
      <c r="AL41" s="289">
        <v>0</v>
      </c>
      <c r="AM41" s="289">
        <v>0</v>
      </c>
      <c r="AN41" s="284">
        <v>0</v>
      </c>
      <c r="AO41" s="291">
        <v>3708222.1304563484</v>
      </c>
      <c r="AP41" s="286">
        <v>88902.26190476191</v>
      </c>
      <c r="AQ41" s="289">
        <v>3619319.8685515863</v>
      </c>
      <c r="AR41" s="284">
        <v>835092.7336454482</v>
      </c>
      <c r="AS41" s="291">
        <v>906708.556547619</v>
      </c>
      <c r="AT41" s="286">
        <v>21870.35714285714</v>
      </c>
      <c r="AU41" s="289">
        <v>884838.1994047619</v>
      </c>
      <c r="AV41" s="284">
        <v>204296.29831623207</v>
      </c>
      <c r="AW41" s="302">
        <f t="shared" si="6"/>
        <v>14016519.590204524</v>
      </c>
      <c r="AX41" s="597">
        <f>+AW41</f>
        <v>14016519.590204524</v>
      </c>
      <c r="AY41" s="265"/>
    </row>
    <row r="42" spans="1:51" ht="12.75">
      <c r="A42" s="223">
        <f t="shared" si="0"/>
        <v>31</v>
      </c>
      <c r="C42" s="544" t="str">
        <f t="shared" si="4"/>
        <v>W  11.68 % ROE</v>
      </c>
      <c r="D42" s="288">
        <f t="shared" si="5"/>
        <v>2013</v>
      </c>
      <c r="E42" s="289">
        <v>188668692.345</v>
      </c>
      <c r="F42" s="289">
        <v>0</v>
      </c>
      <c r="G42" s="289">
        <v>188668692.345</v>
      </c>
      <c r="H42" s="286">
        <v>32050437.326986004</v>
      </c>
      <c r="I42" s="291">
        <v>24904453.022767857</v>
      </c>
      <c r="J42" s="289">
        <v>602825.1802380952</v>
      </c>
      <c r="K42" s="289">
        <v>24301627.842529763</v>
      </c>
      <c r="L42" s="284">
        <v>4731108.418065813</v>
      </c>
      <c r="M42" s="291">
        <v>0</v>
      </c>
      <c r="N42" s="286">
        <v>0</v>
      </c>
      <c r="O42" s="289">
        <v>0</v>
      </c>
      <c r="P42" s="284">
        <v>0</v>
      </c>
      <c r="Q42" s="291">
        <v>76921.83928571426</v>
      </c>
      <c r="R42" s="289">
        <v>2062.5238095238096</v>
      </c>
      <c r="S42" s="289">
        <v>74859.31547619044</v>
      </c>
      <c r="T42" s="284">
        <v>14779.386205662104</v>
      </c>
      <c r="U42" s="291">
        <v>55165.00892857141</v>
      </c>
      <c r="V42" s="289">
        <v>1477.7857142857142</v>
      </c>
      <c r="W42" s="289">
        <v>53687.223214285696</v>
      </c>
      <c r="X42" s="284">
        <v>10598.000422420213</v>
      </c>
      <c r="Y42" s="291">
        <v>111741.71428571426</v>
      </c>
      <c r="Z42" s="289">
        <v>2940.5714285714284</v>
      </c>
      <c r="AA42" s="289">
        <v>108801.14285714283</v>
      </c>
      <c r="AB42" s="284">
        <v>21423.3634960054</v>
      </c>
      <c r="AC42" s="291">
        <v>1447082.9633333334</v>
      </c>
      <c r="AD42" s="289">
        <v>0</v>
      </c>
      <c r="AE42" s="289">
        <v>1447082.9633333334</v>
      </c>
      <c r="AF42" s="284">
        <v>245825.85084362736</v>
      </c>
      <c r="AG42" s="291">
        <v>2703747.7510416666</v>
      </c>
      <c r="AH42" s="289">
        <v>67701.87357142857</v>
      </c>
      <c r="AI42" s="289">
        <v>2636045.877470238</v>
      </c>
      <c r="AJ42" s="284">
        <v>515504.96234477754</v>
      </c>
      <c r="AK42" s="291">
        <v>0</v>
      </c>
      <c r="AL42" s="286">
        <v>0</v>
      </c>
      <c r="AM42" s="289">
        <v>0</v>
      </c>
      <c r="AN42" s="284">
        <v>0</v>
      </c>
      <c r="AO42" s="291">
        <v>3619319.8685515863</v>
      </c>
      <c r="AP42" s="289">
        <v>88902.26190476191</v>
      </c>
      <c r="AQ42" s="289">
        <v>3530417.606646824</v>
      </c>
      <c r="AR42" s="284">
        <v>688638.3751599118</v>
      </c>
      <c r="AS42" s="291">
        <v>22244731.19940476</v>
      </c>
      <c r="AT42" s="289">
        <v>539605.5238095238</v>
      </c>
      <c r="AU42" s="289">
        <v>21705125.67559524</v>
      </c>
      <c r="AV42" s="284">
        <v>4226803.232626718</v>
      </c>
      <c r="AW42" s="302">
        <f t="shared" si="6"/>
        <v>42505118.91615094</v>
      </c>
      <c r="AX42" s="266"/>
      <c r="AY42" s="290">
        <f>+AW42</f>
        <v>42505118.91615094</v>
      </c>
    </row>
    <row r="43" spans="1:51" ht="12.75">
      <c r="A43" s="223">
        <f t="shared" si="0"/>
        <v>32</v>
      </c>
      <c r="C43" s="544" t="str">
        <f t="shared" si="4"/>
        <v>W Increased ROE</v>
      </c>
      <c r="D43" s="288">
        <f t="shared" si="5"/>
        <v>2013</v>
      </c>
      <c r="E43" s="289">
        <v>188668692.345</v>
      </c>
      <c r="F43" s="289">
        <v>0</v>
      </c>
      <c r="G43" s="289">
        <v>188668692.345</v>
      </c>
      <c r="H43" s="286">
        <v>33942591.446361996</v>
      </c>
      <c r="I43" s="291">
        <v>24904453.022767857</v>
      </c>
      <c r="J43" s="289">
        <v>602825.1802380952</v>
      </c>
      <c r="K43" s="289">
        <v>24301627.842529763</v>
      </c>
      <c r="L43" s="284">
        <v>4974828.903209695</v>
      </c>
      <c r="M43" s="291">
        <v>0</v>
      </c>
      <c r="N43" s="286">
        <v>0</v>
      </c>
      <c r="O43" s="289">
        <v>0</v>
      </c>
      <c r="P43" s="284">
        <v>0</v>
      </c>
      <c r="Q43" s="291">
        <v>76921.83928571426</v>
      </c>
      <c r="R43" s="289">
        <v>2062.5238095238096</v>
      </c>
      <c r="S43" s="289">
        <v>74859.31547619044</v>
      </c>
      <c r="T43" s="284">
        <v>14779.386205662104</v>
      </c>
      <c r="U43" s="291">
        <v>55165.00892857141</v>
      </c>
      <c r="V43" s="289">
        <v>1477.7857142857142</v>
      </c>
      <c r="W43" s="289">
        <v>53687.223214285696</v>
      </c>
      <c r="X43" s="284">
        <v>10598.000422420213</v>
      </c>
      <c r="Y43" s="291">
        <v>111741.71428571426</v>
      </c>
      <c r="Z43" s="289">
        <v>2940.5714285714284</v>
      </c>
      <c r="AA43" s="289">
        <v>108801.14285714283</v>
      </c>
      <c r="AB43" s="284">
        <v>21423.3634960054</v>
      </c>
      <c r="AC43" s="291">
        <v>1447082.9633333334</v>
      </c>
      <c r="AD43" s="289">
        <v>0</v>
      </c>
      <c r="AE43" s="289">
        <v>1447082.9633333334</v>
      </c>
      <c r="AF43" s="284">
        <v>260338.61369854282</v>
      </c>
      <c r="AG43" s="291">
        <v>2703747.7510416666</v>
      </c>
      <c r="AH43" s="289">
        <v>67701.87357142857</v>
      </c>
      <c r="AI43" s="289">
        <v>2636045.877470238</v>
      </c>
      <c r="AJ43" s="284">
        <v>541941.8078220267</v>
      </c>
      <c r="AK43" s="291">
        <v>0</v>
      </c>
      <c r="AL43" s="289">
        <v>0</v>
      </c>
      <c r="AM43" s="289">
        <v>0</v>
      </c>
      <c r="AN43" s="284">
        <v>0</v>
      </c>
      <c r="AO43" s="291">
        <v>3619319.8685515863</v>
      </c>
      <c r="AP43" s="289">
        <v>88902.26190476191</v>
      </c>
      <c r="AQ43" s="289">
        <v>3530417.606646824</v>
      </c>
      <c r="AR43" s="284">
        <v>688638.3751599118</v>
      </c>
      <c r="AS43" s="291">
        <v>22244731.19940476</v>
      </c>
      <c r="AT43" s="289">
        <v>539605.5238095238</v>
      </c>
      <c r="AU43" s="289">
        <v>21705125.67559524</v>
      </c>
      <c r="AV43" s="284">
        <v>4226803.232626718</v>
      </c>
      <c r="AW43" s="302">
        <f t="shared" si="6"/>
        <v>44681943.12900297</v>
      </c>
      <c r="AX43" s="597">
        <f>+AW43</f>
        <v>44681943.12900297</v>
      </c>
      <c r="AY43" s="265"/>
    </row>
    <row r="44" spans="1:51" ht="12.75">
      <c r="A44" s="223">
        <f t="shared" si="0"/>
        <v>33</v>
      </c>
      <c r="C44" s="544" t="str">
        <f t="shared" si="4"/>
        <v>W  11.68 % ROE</v>
      </c>
      <c r="D44" s="288">
        <f t="shared" si="5"/>
        <v>2014</v>
      </c>
      <c r="E44" s="289">
        <v>387890523.92833334</v>
      </c>
      <c r="F44" s="289">
        <v>0</v>
      </c>
      <c r="G44" s="289">
        <v>387890523.92833334</v>
      </c>
      <c r="H44" s="286">
        <v>57604084.647161044</v>
      </c>
      <c r="I44" s="291">
        <v>49338188.84252976</v>
      </c>
      <c r="J44" s="289">
        <v>1205851.1802380953</v>
      </c>
      <c r="K44" s="289">
        <v>48132337.66229166</v>
      </c>
      <c r="L44" s="284">
        <v>8353793.916463989</v>
      </c>
      <c r="M44" s="291">
        <v>0</v>
      </c>
      <c r="N44" s="1067">
        <v>0</v>
      </c>
      <c r="O44" s="289">
        <v>0</v>
      </c>
      <c r="P44" s="1068">
        <v>0</v>
      </c>
      <c r="Q44" s="291">
        <v>74859.31547619044</v>
      </c>
      <c r="R44" s="289">
        <v>2062.5238095238096</v>
      </c>
      <c r="S44" s="289">
        <v>72796.79166666663</v>
      </c>
      <c r="T44" s="284">
        <v>12873.28687416414</v>
      </c>
      <c r="U44" s="291">
        <v>53687.223214285696</v>
      </c>
      <c r="V44" s="289">
        <v>1477.7857142857142</v>
      </c>
      <c r="W44" s="289">
        <v>52209.43749999998</v>
      </c>
      <c r="X44" s="284">
        <v>9231.202391426103</v>
      </c>
      <c r="Y44" s="291">
        <v>108801.14285714283</v>
      </c>
      <c r="Z44" s="289">
        <v>2940.5714285714284</v>
      </c>
      <c r="AA44" s="289">
        <v>105860.57142857139</v>
      </c>
      <c r="AB44" s="284">
        <v>18661.505406569126</v>
      </c>
      <c r="AC44" s="291">
        <v>4346118.255</v>
      </c>
      <c r="AD44" s="289">
        <v>0</v>
      </c>
      <c r="AE44" s="289">
        <v>4346118.255</v>
      </c>
      <c r="AF44" s="284">
        <v>645424.8000496328</v>
      </c>
      <c r="AG44" s="291">
        <v>3018142.877470238</v>
      </c>
      <c r="AH44" s="289">
        <v>77021.84976190476</v>
      </c>
      <c r="AI44" s="289">
        <v>2941121.0277083335</v>
      </c>
      <c r="AJ44" s="284">
        <v>513796.079051812</v>
      </c>
      <c r="AK44" s="291">
        <v>0</v>
      </c>
      <c r="AL44" s="1067">
        <v>0</v>
      </c>
      <c r="AM44" s="289">
        <v>0</v>
      </c>
      <c r="AN44" s="1068">
        <v>0</v>
      </c>
      <c r="AO44" s="291">
        <v>3530417.606646824</v>
      </c>
      <c r="AP44" s="289">
        <v>88902.26190476191</v>
      </c>
      <c r="AQ44" s="289">
        <v>3441515.344742062</v>
      </c>
      <c r="AR44" s="284">
        <v>599988.0683465124</v>
      </c>
      <c r="AS44" s="291">
        <v>21776089.67559524</v>
      </c>
      <c r="AT44" s="289">
        <v>541328.1666666666</v>
      </c>
      <c r="AU44" s="289">
        <v>21234761.50892857</v>
      </c>
      <c r="AV44" s="284">
        <v>3694818.453138833</v>
      </c>
      <c r="AW44" s="302">
        <f>H44+L44+P44+T44+X44+AB44+AF44+AJ44+AN44+AR44+AV44</f>
        <v>71452671.95888397</v>
      </c>
      <c r="AX44" s="266"/>
      <c r="AY44" s="290">
        <f>+AW44</f>
        <v>71452671.95888397</v>
      </c>
    </row>
    <row r="45" spans="1:51" ht="12.75">
      <c r="A45" s="223">
        <f t="shared" si="0"/>
        <v>34</v>
      </c>
      <c r="C45" s="544" t="str">
        <f t="shared" si="4"/>
        <v>W Increased ROE</v>
      </c>
      <c r="D45" s="288">
        <f t="shared" si="5"/>
        <v>2014</v>
      </c>
      <c r="E45" s="289">
        <v>387890523.92833334</v>
      </c>
      <c r="F45" s="289">
        <v>0</v>
      </c>
      <c r="G45" s="289">
        <v>387890523.92833334</v>
      </c>
      <c r="H45" s="286">
        <v>61557021.1227775</v>
      </c>
      <c r="I45" s="291">
        <v>49338188.84252976</v>
      </c>
      <c r="J45" s="289">
        <v>1205851.1802380953</v>
      </c>
      <c r="K45" s="289">
        <v>48132337.66229166</v>
      </c>
      <c r="L45" s="284">
        <v>8844303.638833782</v>
      </c>
      <c r="M45" s="291">
        <v>0</v>
      </c>
      <c r="N45" s="289">
        <v>0</v>
      </c>
      <c r="O45" s="289">
        <v>0</v>
      </c>
      <c r="P45" s="1068">
        <v>0</v>
      </c>
      <c r="Q45" s="291">
        <v>74859.31547619044</v>
      </c>
      <c r="R45" s="289">
        <v>2062.5238095238096</v>
      </c>
      <c r="S45" s="289">
        <v>72796.79166666663</v>
      </c>
      <c r="T45" s="284">
        <v>12873.28687416414</v>
      </c>
      <c r="U45" s="291">
        <v>53687.223214285696</v>
      </c>
      <c r="V45" s="289">
        <v>1477.7857142857142</v>
      </c>
      <c r="W45" s="289">
        <v>52209.43749999998</v>
      </c>
      <c r="X45" s="284">
        <v>9231.202391426103</v>
      </c>
      <c r="Y45" s="291">
        <v>108801.14285714283</v>
      </c>
      <c r="Z45" s="289">
        <v>2940.5714285714284</v>
      </c>
      <c r="AA45" s="289">
        <v>105860.57142857139</v>
      </c>
      <c r="AB45" s="284">
        <v>18661.505406569126</v>
      </c>
      <c r="AC45" s="291">
        <v>4346118.255</v>
      </c>
      <c r="AD45" s="289">
        <v>0</v>
      </c>
      <c r="AE45" s="289">
        <v>4346118.255</v>
      </c>
      <c r="AF45" s="284">
        <v>689715.4653733008</v>
      </c>
      <c r="AG45" s="291">
        <v>3018142.877470238</v>
      </c>
      <c r="AH45" s="289">
        <v>77021.84976190476</v>
      </c>
      <c r="AI45" s="289">
        <v>2941121.0277083335</v>
      </c>
      <c r="AJ45" s="284">
        <v>543768.6199427024</v>
      </c>
      <c r="AK45" s="291">
        <v>0</v>
      </c>
      <c r="AL45" s="289">
        <v>0</v>
      </c>
      <c r="AM45" s="289">
        <v>0</v>
      </c>
      <c r="AN45" s="1068">
        <v>0</v>
      </c>
      <c r="AO45" s="291">
        <v>3530417.606646824</v>
      </c>
      <c r="AP45" s="289">
        <v>88902.26190476191</v>
      </c>
      <c r="AQ45" s="289">
        <v>3441515.344742062</v>
      </c>
      <c r="AR45" s="284">
        <v>599988.0683465124</v>
      </c>
      <c r="AS45" s="291">
        <v>21776089.67559524</v>
      </c>
      <c r="AT45" s="289">
        <v>541328.1666666666</v>
      </c>
      <c r="AU45" s="289">
        <v>21234761.50892857</v>
      </c>
      <c r="AV45" s="284">
        <v>3694818.453138833</v>
      </c>
      <c r="AW45" s="302">
        <f>H45+L45+P45+T45+X45+AB45+AF45+AJ45+AN45+AR45+AV45</f>
        <v>75970381.36308481</v>
      </c>
      <c r="AX45" s="597">
        <f>+AW45</f>
        <v>75970381.36308481</v>
      </c>
      <c r="AY45" s="265"/>
    </row>
    <row r="46" spans="1:51" ht="12.75">
      <c r="A46" s="223">
        <f t="shared" si="0"/>
        <v>35</v>
      </c>
      <c r="C46" s="544" t="str">
        <f t="shared" si="4"/>
        <v>W  11.68 % ROE</v>
      </c>
      <c r="D46" s="288">
        <f t="shared" si="5"/>
        <v>2015</v>
      </c>
      <c r="E46" s="289">
        <v>138690971</v>
      </c>
      <c r="F46" s="289">
        <v>0</v>
      </c>
      <c r="G46" s="289">
        <f aca="true" t="shared" si="7" ref="G46:G71">+E46-F46</f>
        <v>138690971</v>
      </c>
      <c r="H46" s="286">
        <v>19925391</v>
      </c>
      <c r="I46" s="291">
        <v>225656514.66229165</v>
      </c>
      <c r="J46" s="289">
        <v>5474192</v>
      </c>
      <c r="K46" s="289">
        <v>220182322</v>
      </c>
      <c r="L46" s="284">
        <v>37107245</v>
      </c>
      <c r="M46" s="291">
        <v>0</v>
      </c>
      <c r="N46" s="1067">
        <v>0</v>
      </c>
      <c r="O46" s="289">
        <f>+M46-N46</f>
        <v>0</v>
      </c>
      <c r="P46" s="1068">
        <v>0</v>
      </c>
      <c r="Q46" s="291">
        <f>+S45</f>
        <v>72796.79166666663</v>
      </c>
      <c r="R46" s="289">
        <f>+R45</f>
        <v>2062.5238095238096</v>
      </c>
      <c r="S46" s="289">
        <f aca="true" t="shared" si="8" ref="S46:S71">+Q46-R46</f>
        <v>70734.26785714281</v>
      </c>
      <c r="T46" s="284">
        <f>+Q$26*S46+R46</f>
        <v>11774.597359179732</v>
      </c>
      <c r="U46" s="291">
        <f>+W45</f>
        <v>52209.43749999998</v>
      </c>
      <c r="V46" s="289">
        <f>+V45</f>
        <v>1477.7857142857142</v>
      </c>
      <c r="W46" s="289">
        <f aca="true" t="shared" si="9" ref="W46:W71">+U46-V46</f>
        <v>50731.65178571426</v>
      </c>
      <c r="X46" s="284">
        <f>+U$26*W46+V46</f>
        <v>8443.426956709853</v>
      </c>
      <c r="Y46" s="291">
        <f>+AA45</f>
        <v>105860.57142857139</v>
      </c>
      <c r="Z46" s="289">
        <f>+Z45</f>
        <v>2940.5714285714284</v>
      </c>
      <c r="AA46" s="289">
        <f aca="true" t="shared" si="10" ref="AA46:AA71">+Y46-Z46</f>
        <v>102919.99999999996</v>
      </c>
      <c r="AB46" s="284">
        <f>+Y$26*AA46+Z46</f>
        <v>17071.86365809367</v>
      </c>
      <c r="AC46" s="291">
        <v>1232451</v>
      </c>
      <c r="AD46" s="289">
        <f aca="true" t="shared" si="11" ref="AD46:AD53">+AD45</f>
        <v>0</v>
      </c>
      <c r="AE46" s="289">
        <f aca="true" t="shared" si="12" ref="AE46:AE71">+AC46-AD46</f>
        <v>1232451</v>
      </c>
      <c r="AF46" s="284">
        <f>+AC$26*AE46+AD46</f>
        <v>169220.02759004006</v>
      </c>
      <c r="AG46" s="291">
        <v>8694885.027708333</v>
      </c>
      <c r="AH46" s="289">
        <v>214806.32595238095</v>
      </c>
      <c r="AI46" s="289">
        <v>8480078.701755952</v>
      </c>
      <c r="AJ46" s="284">
        <v>1433118</v>
      </c>
      <c r="AK46" s="291"/>
      <c r="AL46" s="1067">
        <v>0</v>
      </c>
      <c r="AM46" s="289">
        <f aca="true" t="shared" si="13" ref="AM46:AM71">+AK46-AL46</f>
        <v>0</v>
      </c>
      <c r="AN46" s="1068">
        <f>+AK$26*AM46*(13-$AK$30)/12+AL46</f>
        <v>0</v>
      </c>
      <c r="AO46" s="291">
        <f>+AQ45</f>
        <v>3441515.344742062</v>
      </c>
      <c r="AP46" s="289">
        <f>AP45</f>
        <v>88902.26190476191</v>
      </c>
      <c r="AQ46" s="289">
        <f aca="true" t="shared" si="14" ref="AQ46:AQ71">+AO46-AP46</f>
        <v>3352613.0828373</v>
      </c>
      <c r="AR46" s="284">
        <f>+AO$26*AQ46+AP46</f>
        <v>549228.2938333799</v>
      </c>
      <c r="AS46" s="291">
        <f>+AU45</f>
        <v>21234761.50892857</v>
      </c>
      <c r="AT46" s="289">
        <f>AT45</f>
        <v>541328.1666666666</v>
      </c>
      <c r="AU46" s="289">
        <f aca="true" t="shared" si="15" ref="AU46:AU71">+AS46-AT46</f>
        <v>20693433.342261903</v>
      </c>
      <c r="AV46" s="284">
        <f>+AS$26*AU46+AT46</f>
        <v>3382612.210503066</v>
      </c>
      <c r="AW46" s="302">
        <f aca="true" t="shared" si="16" ref="AW46:AW71">H46+L46+P46+T46+X46+AB46+AF46+AJ46+AN46+AR46+AV46</f>
        <v>62604104.41990047</v>
      </c>
      <c r="AX46" s="266"/>
      <c r="AY46" s="290">
        <f>+AW46</f>
        <v>62604104.41990047</v>
      </c>
    </row>
    <row r="47" spans="1:51" ht="12.75">
      <c r="A47" s="223">
        <f t="shared" si="0"/>
        <v>36</v>
      </c>
      <c r="C47" s="544" t="str">
        <f t="shared" si="4"/>
        <v>W Increased ROE</v>
      </c>
      <c r="D47" s="288">
        <f t="shared" si="5"/>
        <v>2015</v>
      </c>
      <c r="E47" s="289">
        <f>E46</f>
        <v>138690971</v>
      </c>
      <c r="F47" s="289">
        <v>0</v>
      </c>
      <c r="G47" s="289">
        <f t="shared" si="7"/>
        <v>138690971</v>
      </c>
      <c r="H47" s="286">
        <v>21359559</v>
      </c>
      <c r="I47" s="291">
        <v>225656514.66229165</v>
      </c>
      <c r="J47" s="289">
        <v>5474192</v>
      </c>
      <c r="K47" s="289">
        <v>220182322</v>
      </c>
      <c r="L47" s="284">
        <v>39384095</v>
      </c>
      <c r="M47" s="291">
        <v>0</v>
      </c>
      <c r="N47" s="289">
        <v>0</v>
      </c>
      <c r="O47" s="289">
        <f aca="true" t="shared" si="17" ref="O47:O71">+M47-N47</f>
        <v>0</v>
      </c>
      <c r="P47" s="1068">
        <v>0</v>
      </c>
      <c r="Q47" s="291">
        <f>+Q46</f>
        <v>72796.79166666663</v>
      </c>
      <c r="R47" s="289">
        <f aca="true" t="shared" si="18" ref="R47:R71">+R46</f>
        <v>2062.5238095238096</v>
      </c>
      <c r="S47" s="289">
        <f t="shared" si="8"/>
        <v>70734.26785714281</v>
      </c>
      <c r="T47" s="284">
        <f>+Q$27*S47+R47</f>
        <v>11774.597359179732</v>
      </c>
      <c r="U47" s="291">
        <f>+U46</f>
        <v>52209.43749999998</v>
      </c>
      <c r="V47" s="289">
        <f aca="true" t="shared" si="19" ref="V47:V71">+V46</f>
        <v>1477.7857142857142</v>
      </c>
      <c r="W47" s="289">
        <f t="shared" si="9"/>
        <v>50731.65178571426</v>
      </c>
      <c r="X47" s="284">
        <f>+U$27*W47+V47</f>
        <v>8443.426956709853</v>
      </c>
      <c r="Y47" s="291">
        <f>+Y46</f>
        <v>105860.57142857139</v>
      </c>
      <c r="Z47" s="289">
        <f aca="true" t="shared" si="20" ref="Z47:Z71">+Z46</f>
        <v>2940.5714285714284</v>
      </c>
      <c r="AA47" s="289">
        <f t="shared" si="10"/>
        <v>102919.99999999996</v>
      </c>
      <c r="AB47" s="284">
        <f>+Y$27*AA47+Z47</f>
        <v>17071.86365809367</v>
      </c>
      <c r="AC47" s="291">
        <f>+AC46</f>
        <v>1232451</v>
      </c>
      <c r="AD47" s="289">
        <f t="shared" si="11"/>
        <v>0</v>
      </c>
      <c r="AE47" s="289">
        <f t="shared" si="12"/>
        <v>1232451</v>
      </c>
      <c r="AF47" s="284">
        <f>+AC$27*AE47+AD47</f>
        <v>181513.38795473607</v>
      </c>
      <c r="AG47" s="291">
        <v>8694885.027708333</v>
      </c>
      <c r="AH47" s="289">
        <v>214806.32595238095</v>
      </c>
      <c r="AI47" s="289">
        <v>8480078.701755952</v>
      </c>
      <c r="AJ47" s="284">
        <v>1520809</v>
      </c>
      <c r="AK47" s="291">
        <f>+AK46</f>
        <v>0</v>
      </c>
      <c r="AL47" s="289">
        <v>0</v>
      </c>
      <c r="AM47" s="289">
        <f t="shared" si="13"/>
        <v>0</v>
      </c>
      <c r="AN47" s="1068">
        <f>+AK$27*AM47*(13-$AK$30)/12+AL47</f>
        <v>0</v>
      </c>
      <c r="AO47" s="291">
        <f>+AO46</f>
        <v>3441515.344742062</v>
      </c>
      <c r="AP47" s="289">
        <f>+AP46</f>
        <v>88902.26190476191</v>
      </c>
      <c r="AQ47" s="289">
        <f t="shared" si="14"/>
        <v>3352613.0828373</v>
      </c>
      <c r="AR47" s="284">
        <f>+AO$27*AQ47+AP47</f>
        <v>549228.2938333799</v>
      </c>
      <c r="AS47" s="291">
        <f>+AS46</f>
        <v>21234761.50892857</v>
      </c>
      <c r="AT47" s="289">
        <f>+AT46</f>
        <v>541328.1666666666</v>
      </c>
      <c r="AU47" s="289">
        <f t="shared" si="15"/>
        <v>20693433.342261903</v>
      </c>
      <c r="AV47" s="284">
        <f>+AS$27*AU47+AT47</f>
        <v>3382612.210503066</v>
      </c>
      <c r="AW47" s="302">
        <f t="shared" si="16"/>
        <v>66415106.78026517</v>
      </c>
      <c r="AX47" s="597">
        <f>+AW47</f>
        <v>66415106.78026517</v>
      </c>
      <c r="AY47" s="265"/>
    </row>
    <row r="48" spans="1:51" ht="12.75">
      <c r="A48" s="223">
        <f t="shared" si="0"/>
        <v>37</v>
      </c>
      <c r="C48" s="544" t="str">
        <f t="shared" si="4"/>
        <v>W  11.68 % ROE</v>
      </c>
      <c r="D48" s="288">
        <f t="shared" si="5"/>
        <v>2016</v>
      </c>
      <c r="E48" s="289">
        <f>E28</f>
        <v>1417772</v>
      </c>
      <c r="F48" s="289">
        <v>0</v>
      </c>
      <c r="G48" s="289">
        <f t="shared" si="7"/>
        <v>1417772</v>
      </c>
      <c r="H48" s="286">
        <f>+E$26*G48+F48</f>
        <v>194665.27834079106</v>
      </c>
      <c r="I48" s="1078">
        <f>K47+382189792</f>
        <v>602372114</v>
      </c>
      <c r="J48" s="1077">
        <f>I29</f>
        <v>14715666.370714284</v>
      </c>
      <c r="K48" s="1077">
        <f>+I48-J48</f>
        <v>587656447.6292857</v>
      </c>
      <c r="L48" s="306">
        <f>+I$26*K48+J48</f>
        <v>95403044.83954805</v>
      </c>
      <c r="M48" s="291">
        <f>M28</f>
        <v>1073528</v>
      </c>
      <c r="N48" s="1067">
        <f>+M$29/12*(13-M$30)</f>
        <v>7248.734126984129</v>
      </c>
      <c r="O48" s="289">
        <f>+M48-N48</f>
        <v>1066279.2658730159</v>
      </c>
      <c r="P48" s="284">
        <f>+M$26*O48+N48</f>
        <v>153652.775171796</v>
      </c>
      <c r="Q48" s="291">
        <f>S47</f>
        <v>70734.26785714281</v>
      </c>
      <c r="R48" s="289">
        <f>+R47</f>
        <v>2062.5238095238096</v>
      </c>
      <c r="S48" s="289">
        <f t="shared" si="8"/>
        <v>68671.744047619</v>
      </c>
      <c r="T48" s="284">
        <f>+Q$26*S48+R48</f>
        <v>11491.405300466862</v>
      </c>
      <c r="U48" s="291">
        <f>W47</f>
        <v>50731.65178571426</v>
      </c>
      <c r="V48" s="289">
        <f t="shared" si="19"/>
        <v>1477.7857142857142</v>
      </c>
      <c r="W48" s="289">
        <f t="shared" si="9"/>
        <v>49253.86607142854</v>
      </c>
      <c r="X48" s="284">
        <f>+U$26*W48+V48</f>
        <v>8240.521576014315</v>
      </c>
      <c r="Y48" s="291">
        <f>+AA47</f>
        <v>102919.99999999996</v>
      </c>
      <c r="Z48" s="289">
        <f>+Z47</f>
        <v>2940.5714285714284</v>
      </c>
      <c r="AA48" s="289">
        <f t="shared" si="10"/>
        <v>99979.42857142852</v>
      </c>
      <c r="AB48" s="284">
        <f>+Y$26*AA48+Z48</f>
        <v>16668.11245153589</v>
      </c>
      <c r="AC48" s="291">
        <f>AC28</f>
        <v>-274179</v>
      </c>
      <c r="AD48" s="289">
        <f t="shared" si="11"/>
        <v>0</v>
      </c>
      <c r="AE48" s="289">
        <f t="shared" si="12"/>
        <v>-274179</v>
      </c>
      <c r="AF48" s="284">
        <f>+AC$26*AE48+AD48</f>
        <v>-37645.778975885936</v>
      </c>
      <c r="AG48" s="1078">
        <f>AI47+5848267</f>
        <v>14328345.701755952</v>
      </c>
      <c r="AH48" s="1077">
        <f>AG29</f>
        <v>356796.32595238095</v>
      </c>
      <c r="AI48" s="1077">
        <f t="shared" si="3"/>
        <v>13971549.375803571</v>
      </c>
      <c r="AJ48" s="306">
        <f>+AG$26*AI48+AH48</f>
        <v>2275141.128990463</v>
      </c>
      <c r="AK48" s="291">
        <f>AK28</f>
        <v>0</v>
      </c>
      <c r="AL48" s="289">
        <f>AL47</f>
        <v>0</v>
      </c>
      <c r="AM48" s="289">
        <f t="shared" si="13"/>
        <v>0</v>
      </c>
      <c r="AN48" s="284">
        <f>+AK$26*AM48+AL48</f>
        <v>0</v>
      </c>
      <c r="AO48" s="291">
        <f>+AQ47</f>
        <v>3352613.0828373</v>
      </c>
      <c r="AP48" s="289">
        <f>+AP47</f>
        <v>88902.26190476191</v>
      </c>
      <c r="AQ48" s="289">
        <f t="shared" si="14"/>
        <v>3263710.820932538</v>
      </c>
      <c r="AR48" s="284">
        <f>+AO$26*AQ48+AP48</f>
        <v>537021.6882869194</v>
      </c>
      <c r="AS48" s="291">
        <f>+AU47</f>
        <v>20693433.342261903</v>
      </c>
      <c r="AT48" s="289">
        <f>+AT47</f>
        <v>541328.1666666666</v>
      </c>
      <c r="AU48" s="289">
        <f t="shared" si="15"/>
        <v>20152105.175595235</v>
      </c>
      <c r="AV48" s="284">
        <f>+AS$26*AU48+AT48</f>
        <v>3308285.8743658895</v>
      </c>
      <c r="AW48" s="302">
        <f t="shared" si="16"/>
        <v>101870565.84505604</v>
      </c>
      <c r="AX48" s="266"/>
      <c r="AY48" s="290">
        <f>+AW48</f>
        <v>101870565.84505604</v>
      </c>
    </row>
    <row r="49" spans="1:51" ht="12.75">
      <c r="A49" s="223">
        <f t="shared" si="0"/>
        <v>38</v>
      </c>
      <c r="C49" s="544" t="str">
        <f t="shared" si="4"/>
        <v>W Increased ROE</v>
      </c>
      <c r="D49" s="288">
        <f t="shared" si="5"/>
        <v>2016</v>
      </c>
      <c r="E49" s="289">
        <f>E48</f>
        <v>1417772</v>
      </c>
      <c r="F49" s="289">
        <v>0</v>
      </c>
      <c r="G49" s="289">
        <f t="shared" si="7"/>
        <v>1417772</v>
      </c>
      <c r="H49" s="286">
        <f>+E$27*G49+F49</f>
        <v>208807.16480197757</v>
      </c>
      <c r="I49" s="1078">
        <f>+I48</f>
        <v>602372114</v>
      </c>
      <c r="J49" s="1077">
        <f aca="true" t="shared" si="21" ref="J49:J72">+J48</f>
        <v>14715666.370714284</v>
      </c>
      <c r="K49" s="1077">
        <f t="shared" si="1"/>
        <v>587656447.6292857</v>
      </c>
      <c r="L49" s="306">
        <f>+I$27*K49+J49</f>
        <v>101264756.56792015</v>
      </c>
      <c r="M49" s="291">
        <f>+M48</f>
        <v>1073528</v>
      </c>
      <c r="N49" s="289">
        <f aca="true" t="shared" si="22" ref="N49:N72">+N48</f>
        <v>7248.734126984129</v>
      </c>
      <c r="O49" s="289">
        <f>+M49-N49</f>
        <v>1066279.2658730159</v>
      </c>
      <c r="P49" s="284">
        <f>+M$27*O49+N49</f>
        <v>164288.61810979553</v>
      </c>
      <c r="Q49" s="291">
        <f>Q48</f>
        <v>70734.26785714281</v>
      </c>
      <c r="R49" s="289">
        <f t="shared" si="18"/>
        <v>2062.5238095238096</v>
      </c>
      <c r="S49" s="289">
        <f t="shared" si="8"/>
        <v>68671.744047619</v>
      </c>
      <c r="T49" s="284">
        <f>+Q$27*S49+R49</f>
        <v>11491.405300466862</v>
      </c>
      <c r="U49" s="291">
        <f>U48</f>
        <v>50731.65178571426</v>
      </c>
      <c r="V49" s="289">
        <f t="shared" si="19"/>
        <v>1477.7857142857142</v>
      </c>
      <c r="W49" s="289">
        <f t="shared" si="9"/>
        <v>49253.86607142854</v>
      </c>
      <c r="X49" s="284">
        <f>+U$27*W49+V49</f>
        <v>8240.521576014315</v>
      </c>
      <c r="Y49" s="291">
        <f>+Y48</f>
        <v>102919.99999999996</v>
      </c>
      <c r="Z49" s="289">
        <f t="shared" si="20"/>
        <v>2940.5714285714284</v>
      </c>
      <c r="AA49" s="289">
        <f t="shared" si="10"/>
        <v>99979.42857142852</v>
      </c>
      <c r="AB49" s="284">
        <f>+Y$27*AA49+Z49</f>
        <v>16668.11245153589</v>
      </c>
      <c r="AC49" s="291">
        <f>+AC48</f>
        <v>-274179</v>
      </c>
      <c r="AD49" s="289">
        <f t="shared" si="11"/>
        <v>0</v>
      </c>
      <c r="AE49" s="289">
        <f t="shared" si="12"/>
        <v>-274179</v>
      </c>
      <c r="AF49" s="284">
        <f>+AC$27*AE49+AD49</f>
        <v>-40380.63922706994</v>
      </c>
      <c r="AG49" s="1078">
        <f>+AG48</f>
        <v>14328345.701755952</v>
      </c>
      <c r="AH49" s="1077">
        <f aca="true" t="shared" si="23" ref="AH49:AH71">+AH48</f>
        <v>356796.32595238095</v>
      </c>
      <c r="AI49" s="1077">
        <f t="shared" si="3"/>
        <v>13971549.375803571</v>
      </c>
      <c r="AJ49" s="306">
        <f>+AG$27*AI49+AH49</f>
        <v>2414503.4982285886</v>
      </c>
      <c r="AK49" s="291">
        <f>+AK48</f>
        <v>0</v>
      </c>
      <c r="AL49" s="289">
        <f aca="true" t="shared" si="24" ref="AL49:AL71">+AL48</f>
        <v>0</v>
      </c>
      <c r="AM49" s="289">
        <f t="shared" si="13"/>
        <v>0</v>
      </c>
      <c r="AN49" s="284">
        <f>+AK$27*AM49+AL49</f>
        <v>0</v>
      </c>
      <c r="AO49" s="291">
        <f>+AO48</f>
        <v>3352613.0828373</v>
      </c>
      <c r="AP49" s="289">
        <f aca="true" t="shared" si="25" ref="AP49:AP71">+AP48</f>
        <v>88902.26190476191</v>
      </c>
      <c r="AQ49" s="289">
        <f t="shared" si="14"/>
        <v>3263710.820932538</v>
      </c>
      <c r="AR49" s="284">
        <f>+AO$27*AQ49+AP49</f>
        <v>537021.6882869194</v>
      </c>
      <c r="AS49" s="291">
        <f>+AS48</f>
        <v>20693433.342261903</v>
      </c>
      <c r="AT49" s="289">
        <f aca="true" t="shared" si="26" ref="AT49:AT71">+AT48</f>
        <v>541328.1666666666</v>
      </c>
      <c r="AU49" s="289">
        <f t="shared" si="15"/>
        <v>20152105.175595235</v>
      </c>
      <c r="AV49" s="284">
        <f>+AS$27*AU49+AT49</f>
        <v>3308285.8743658895</v>
      </c>
      <c r="AW49" s="302">
        <f t="shared" si="16"/>
        <v>107893682.81181428</v>
      </c>
      <c r="AX49" s="597">
        <f>+AW49</f>
        <v>107893682.81181428</v>
      </c>
      <c r="AY49" s="265"/>
    </row>
    <row r="50" spans="1:51" ht="12.75">
      <c r="A50" s="223">
        <f t="shared" si="0"/>
        <v>39</v>
      </c>
      <c r="C50" s="544" t="str">
        <f t="shared" si="4"/>
        <v>W  11.68 % ROE</v>
      </c>
      <c r="D50" s="288">
        <f t="shared" si="5"/>
        <v>2017</v>
      </c>
      <c r="E50" s="289"/>
      <c r="F50" s="289">
        <v>0</v>
      </c>
      <c r="G50" s="289">
        <f t="shared" si="7"/>
        <v>0</v>
      </c>
      <c r="H50" s="286">
        <f>+E$26*G50+F50</f>
        <v>0</v>
      </c>
      <c r="I50" s="291">
        <f>+K49*0</f>
        <v>0</v>
      </c>
      <c r="J50" s="289">
        <f>+J49*0</f>
        <v>0</v>
      </c>
      <c r="K50" s="289">
        <f t="shared" si="1"/>
        <v>0</v>
      </c>
      <c r="L50" s="284">
        <f>+I$26*K50+J50</f>
        <v>0</v>
      </c>
      <c r="M50" s="291"/>
      <c r="N50" s="289">
        <v>0</v>
      </c>
      <c r="O50" s="289">
        <f t="shared" si="17"/>
        <v>0</v>
      </c>
      <c r="P50" s="284">
        <f>+M$26*O50+N50</f>
        <v>0</v>
      </c>
      <c r="Q50" s="291">
        <v>0</v>
      </c>
      <c r="R50" s="289">
        <f>+R49*0</f>
        <v>0</v>
      </c>
      <c r="S50" s="289">
        <f t="shared" si="8"/>
        <v>0</v>
      </c>
      <c r="T50" s="284">
        <f>+Q$26*S50+R50</f>
        <v>0</v>
      </c>
      <c r="U50" s="291">
        <v>0</v>
      </c>
      <c r="V50" s="289">
        <v>0</v>
      </c>
      <c r="W50" s="289">
        <f t="shared" si="9"/>
        <v>0</v>
      </c>
      <c r="X50" s="284">
        <f>+U$26*W50+V50</f>
        <v>0</v>
      </c>
      <c r="Y50" s="291">
        <f>+AA49*0</f>
        <v>0</v>
      </c>
      <c r="Z50" s="289">
        <f>+Z49*0</f>
        <v>0</v>
      </c>
      <c r="AA50" s="289">
        <f t="shared" si="10"/>
        <v>0</v>
      </c>
      <c r="AB50" s="284">
        <f>+Y$26*AA50+Z50</f>
        <v>0</v>
      </c>
      <c r="AC50" s="291">
        <f>+AE49*0</f>
        <v>0</v>
      </c>
      <c r="AD50" s="289">
        <f t="shared" si="11"/>
        <v>0</v>
      </c>
      <c r="AE50" s="289">
        <f t="shared" si="12"/>
        <v>0</v>
      </c>
      <c r="AF50" s="284">
        <f>+AC$26*AE50+AD50</f>
        <v>0</v>
      </c>
      <c r="AG50" s="291">
        <f>+AI49*0</f>
        <v>0</v>
      </c>
      <c r="AH50" s="289">
        <f>+AH49*0</f>
        <v>0</v>
      </c>
      <c r="AI50" s="289">
        <f t="shared" si="3"/>
        <v>0</v>
      </c>
      <c r="AJ50" s="284">
        <f>+AG$26*AI50+AH50</f>
        <v>0</v>
      </c>
      <c r="AK50" s="291">
        <f>+AM49*0</f>
        <v>0</v>
      </c>
      <c r="AL50" s="289">
        <f>+AL49*0</f>
        <v>0</v>
      </c>
      <c r="AM50" s="289">
        <f t="shared" si="13"/>
        <v>0</v>
      </c>
      <c r="AN50" s="284">
        <f>+AK$26*AM50+AL50</f>
        <v>0</v>
      </c>
      <c r="AO50" s="291">
        <f>+AQ49*0</f>
        <v>0</v>
      </c>
      <c r="AP50" s="289">
        <f>+AP49*0</f>
        <v>0</v>
      </c>
      <c r="AQ50" s="289">
        <f t="shared" si="14"/>
        <v>0</v>
      </c>
      <c r="AR50" s="284">
        <f>+AO$26*AQ50+AP50</f>
        <v>0</v>
      </c>
      <c r="AS50" s="291">
        <f>+AU49*0</f>
        <v>0</v>
      </c>
      <c r="AT50" s="289">
        <f>+AT49*0</f>
        <v>0</v>
      </c>
      <c r="AU50" s="289">
        <f t="shared" si="15"/>
        <v>0</v>
      </c>
      <c r="AV50" s="284">
        <f>+AS$26*AU50+AT50</f>
        <v>0</v>
      </c>
      <c r="AW50" s="302">
        <f t="shared" si="16"/>
        <v>0</v>
      </c>
      <c r="AX50" s="266"/>
      <c r="AY50" s="290">
        <f>+AW50</f>
        <v>0</v>
      </c>
    </row>
    <row r="51" spans="1:51" ht="12.75">
      <c r="A51" s="223">
        <f t="shared" si="0"/>
        <v>40</v>
      </c>
      <c r="C51" s="544" t="str">
        <f t="shared" si="4"/>
        <v>W Increased ROE</v>
      </c>
      <c r="D51" s="288">
        <f t="shared" si="5"/>
        <v>2017</v>
      </c>
      <c r="E51" s="289"/>
      <c r="F51" s="289">
        <v>0</v>
      </c>
      <c r="G51" s="289">
        <f t="shared" si="7"/>
        <v>0</v>
      </c>
      <c r="H51" s="286">
        <f>+E$27*G51+F51</f>
        <v>0</v>
      </c>
      <c r="I51" s="291">
        <f>+I50</f>
        <v>0</v>
      </c>
      <c r="J51" s="289">
        <f t="shared" si="21"/>
        <v>0</v>
      </c>
      <c r="K51" s="289">
        <f t="shared" si="1"/>
        <v>0</v>
      </c>
      <c r="L51" s="284">
        <f>+I$27*K51+J51</f>
        <v>0</v>
      </c>
      <c r="M51" s="291"/>
      <c r="N51" s="289">
        <f t="shared" si="22"/>
        <v>0</v>
      </c>
      <c r="O51" s="289">
        <f t="shared" si="17"/>
        <v>0</v>
      </c>
      <c r="P51" s="284">
        <f>+M$27*O51+N51</f>
        <v>0</v>
      </c>
      <c r="Q51" s="291">
        <f>+Q50</f>
        <v>0</v>
      </c>
      <c r="R51" s="289">
        <f t="shared" si="18"/>
        <v>0</v>
      </c>
      <c r="S51" s="289">
        <f t="shared" si="8"/>
        <v>0</v>
      </c>
      <c r="T51" s="284">
        <f>+Q$27*S51+R51</f>
        <v>0</v>
      </c>
      <c r="U51" s="291">
        <f>+U50</f>
        <v>0</v>
      </c>
      <c r="V51" s="289">
        <f t="shared" si="19"/>
        <v>0</v>
      </c>
      <c r="W51" s="289">
        <f t="shared" si="9"/>
        <v>0</v>
      </c>
      <c r="X51" s="284">
        <f>+U$27*W51+V51</f>
        <v>0</v>
      </c>
      <c r="Y51" s="291">
        <f>+Y50</f>
        <v>0</v>
      </c>
      <c r="Z51" s="289">
        <f t="shared" si="20"/>
        <v>0</v>
      </c>
      <c r="AA51" s="289">
        <f t="shared" si="10"/>
        <v>0</v>
      </c>
      <c r="AB51" s="284">
        <f>+Y$27*AA51+Z51</f>
        <v>0</v>
      </c>
      <c r="AC51" s="291">
        <f>+AC50</f>
        <v>0</v>
      </c>
      <c r="AD51" s="289">
        <f t="shared" si="11"/>
        <v>0</v>
      </c>
      <c r="AE51" s="289">
        <f t="shared" si="12"/>
        <v>0</v>
      </c>
      <c r="AF51" s="284">
        <f>+AC$27*AE51+AD51</f>
        <v>0</v>
      </c>
      <c r="AG51" s="291">
        <f>+AG50</f>
        <v>0</v>
      </c>
      <c r="AH51" s="289">
        <f t="shared" si="23"/>
        <v>0</v>
      </c>
      <c r="AI51" s="289">
        <f t="shared" si="3"/>
        <v>0</v>
      </c>
      <c r="AJ51" s="284">
        <f>+AG$27*AI51+AH51</f>
        <v>0</v>
      </c>
      <c r="AK51" s="291">
        <f>+AK50</f>
        <v>0</v>
      </c>
      <c r="AL51" s="289">
        <f t="shared" si="24"/>
        <v>0</v>
      </c>
      <c r="AM51" s="289">
        <f t="shared" si="13"/>
        <v>0</v>
      </c>
      <c r="AN51" s="284">
        <f>+AK$27*AM51+AL51</f>
        <v>0</v>
      </c>
      <c r="AO51" s="291">
        <f>+AO50</f>
        <v>0</v>
      </c>
      <c r="AP51" s="289">
        <f t="shared" si="25"/>
        <v>0</v>
      </c>
      <c r="AQ51" s="289">
        <f t="shared" si="14"/>
        <v>0</v>
      </c>
      <c r="AR51" s="284">
        <f>+AO$27*AQ51+AP51</f>
        <v>0</v>
      </c>
      <c r="AS51" s="291">
        <f>+AS50</f>
        <v>0</v>
      </c>
      <c r="AT51" s="289">
        <f t="shared" si="26"/>
        <v>0</v>
      </c>
      <c r="AU51" s="289">
        <f t="shared" si="15"/>
        <v>0</v>
      </c>
      <c r="AV51" s="284">
        <f>+AS$27*AU51+AT51</f>
        <v>0</v>
      </c>
      <c r="AW51" s="302">
        <f t="shared" si="16"/>
        <v>0</v>
      </c>
      <c r="AX51" s="597">
        <f>+AW51</f>
        <v>0</v>
      </c>
      <c r="AY51" s="265"/>
    </row>
    <row r="52" spans="1:51" ht="12.75">
      <c r="A52" s="223">
        <f t="shared" si="0"/>
        <v>41</v>
      </c>
      <c r="C52" s="544" t="str">
        <f t="shared" si="4"/>
        <v>W  11.68 % ROE</v>
      </c>
      <c r="D52" s="288">
        <f t="shared" si="5"/>
        <v>2018</v>
      </c>
      <c r="E52" s="289"/>
      <c r="F52" s="289">
        <v>0</v>
      </c>
      <c r="G52" s="289">
        <f t="shared" si="7"/>
        <v>0</v>
      </c>
      <c r="H52" s="286">
        <f>+E$26*G52+F52</f>
        <v>0</v>
      </c>
      <c r="I52" s="291">
        <f>+K51</f>
        <v>0</v>
      </c>
      <c r="J52" s="289">
        <f t="shared" si="21"/>
        <v>0</v>
      </c>
      <c r="K52" s="289">
        <f t="shared" si="1"/>
        <v>0</v>
      </c>
      <c r="L52" s="284">
        <f>+I$26*K52+J52</f>
        <v>0</v>
      </c>
      <c r="M52" s="291"/>
      <c r="N52" s="289">
        <f t="shared" si="22"/>
        <v>0</v>
      </c>
      <c r="O52" s="289">
        <f t="shared" si="17"/>
        <v>0</v>
      </c>
      <c r="P52" s="284">
        <f>+M$26*O52+N52</f>
        <v>0</v>
      </c>
      <c r="Q52" s="291">
        <f>+S51</f>
        <v>0</v>
      </c>
      <c r="R52" s="289">
        <f t="shared" si="18"/>
        <v>0</v>
      </c>
      <c r="S52" s="289">
        <f t="shared" si="8"/>
        <v>0</v>
      </c>
      <c r="T52" s="284">
        <f>+Q$26*S52+R52</f>
        <v>0</v>
      </c>
      <c r="U52" s="291">
        <f>+W51</f>
        <v>0</v>
      </c>
      <c r="V52" s="289">
        <f t="shared" si="19"/>
        <v>0</v>
      </c>
      <c r="W52" s="289">
        <f t="shared" si="9"/>
        <v>0</v>
      </c>
      <c r="X52" s="284">
        <f>+U$26*W52+V52</f>
        <v>0</v>
      </c>
      <c r="Y52" s="291">
        <f>+AA51</f>
        <v>0</v>
      </c>
      <c r="Z52" s="289">
        <f t="shared" si="20"/>
        <v>0</v>
      </c>
      <c r="AA52" s="289">
        <f t="shared" si="10"/>
        <v>0</v>
      </c>
      <c r="AB52" s="284">
        <f>+Y$26*AA52+Z52</f>
        <v>0</v>
      </c>
      <c r="AC52" s="291">
        <f>+AE51</f>
        <v>0</v>
      </c>
      <c r="AD52" s="289">
        <f t="shared" si="11"/>
        <v>0</v>
      </c>
      <c r="AE52" s="289">
        <f t="shared" si="12"/>
        <v>0</v>
      </c>
      <c r="AF52" s="284">
        <f>+AC$26*AE52+AD52</f>
        <v>0</v>
      </c>
      <c r="AG52" s="291">
        <f>+AI51</f>
        <v>0</v>
      </c>
      <c r="AH52" s="289">
        <f t="shared" si="23"/>
        <v>0</v>
      </c>
      <c r="AI52" s="289">
        <f t="shared" si="3"/>
        <v>0</v>
      </c>
      <c r="AJ52" s="284">
        <f>+AG$26*AI52+AH52</f>
        <v>0</v>
      </c>
      <c r="AK52" s="291">
        <f>+AM51</f>
        <v>0</v>
      </c>
      <c r="AL52" s="289">
        <f t="shared" si="24"/>
        <v>0</v>
      </c>
      <c r="AM52" s="289">
        <f t="shared" si="13"/>
        <v>0</v>
      </c>
      <c r="AN52" s="284">
        <f>+AK$26*AM52+AL52</f>
        <v>0</v>
      </c>
      <c r="AO52" s="291">
        <f>+AQ51</f>
        <v>0</v>
      </c>
      <c r="AP52" s="289">
        <f t="shared" si="25"/>
        <v>0</v>
      </c>
      <c r="AQ52" s="289">
        <f t="shared" si="14"/>
        <v>0</v>
      </c>
      <c r="AR52" s="284">
        <f>+AO$26*AQ52+AP52</f>
        <v>0</v>
      </c>
      <c r="AS52" s="291">
        <f>+AU51</f>
        <v>0</v>
      </c>
      <c r="AT52" s="289">
        <f t="shared" si="26"/>
        <v>0</v>
      </c>
      <c r="AU52" s="289">
        <f t="shared" si="15"/>
        <v>0</v>
      </c>
      <c r="AV52" s="284">
        <f>+AS$26*AU52+AT52</f>
        <v>0</v>
      </c>
      <c r="AW52" s="302">
        <f t="shared" si="16"/>
        <v>0</v>
      </c>
      <c r="AX52" s="266"/>
      <c r="AY52" s="290">
        <f>+AW52</f>
        <v>0</v>
      </c>
    </row>
    <row r="53" spans="1:51" ht="12.75">
      <c r="A53" s="223">
        <f aca="true" t="shared" si="27" ref="A53:A73">+A52+1</f>
        <v>42</v>
      </c>
      <c r="C53" s="544" t="str">
        <f t="shared" si="4"/>
        <v>W Increased ROE</v>
      </c>
      <c r="D53" s="288">
        <f t="shared" si="5"/>
        <v>2018</v>
      </c>
      <c r="E53" s="289"/>
      <c r="F53" s="289">
        <v>0</v>
      </c>
      <c r="G53" s="289">
        <f t="shared" si="7"/>
        <v>0</v>
      </c>
      <c r="H53" s="286">
        <f>+E$27*G53+F53</f>
        <v>0</v>
      </c>
      <c r="I53" s="291">
        <f>+I52</f>
        <v>0</v>
      </c>
      <c r="J53" s="289">
        <f t="shared" si="21"/>
        <v>0</v>
      </c>
      <c r="K53" s="289">
        <f t="shared" si="1"/>
        <v>0</v>
      </c>
      <c r="L53" s="284">
        <f>+I$27*K53+J53</f>
        <v>0</v>
      </c>
      <c r="M53" s="291"/>
      <c r="N53" s="289">
        <f t="shared" si="22"/>
        <v>0</v>
      </c>
      <c r="O53" s="289">
        <f t="shared" si="17"/>
        <v>0</v>
      </c>
      <c r="P53" s="284">
        <f>+M$27*O53+N53</f>
        <v>0</v>
      </c>
      <c r="Q53" s="291">
        <f>+Q52</f>
        <v>0</v>
      </c>
      <c r="R53" s="289">
        <f t="shared" si="18"/>
        <v>0</v>
      </c>
      <c r="S53" s="289">
        <f t="shared" si="8"/>
        <v>0</v>
      </c>
      <c r="T53" s="284">
        <f>+Q$27*S53+R53</f>
        <v>0</v>
      </c>
      <c r="U53" s="291">
        <f>+U52</f>
        <v>0</v>
      </c>
      <c r="V53" s="289">
        <f t="shared" si="19"/>
        <v>0</v>
      </c>
      <c r="W53" s="289">
        <f t="shared" si="9"/>
        <v>0</v>
      </c>
      <c r="X53" s="284">
        <f>+U$27*W53+V53</f>
        <v>0</v>
      </c>
      <c r="Y53" s="291">
        <f>+Y52</f>
        <v>0</v>
      </c>
      <c r="Z53" s="289">
        <f t="shared" si="20"/>
        <v>0</v>
      </c>
      <c r="AA53" s="289">
        <f t="shared" si="10"/>
        <v>0</v>
      </c>
      <c r="AB53" s="284">
        <f>+Y$27*AA53+Z53</f>
        <v>0</v>
      </c>
      <c r="AC53" s="291">
        <f>+AC52</f>
        <v>0</v>
      </c>
      <c r="AD53" s="289">
        <f t="shared" si="11"/>
        <v>0</v>
      </c>
      <c r="AE53" s="289">
        <f t="shared" si="12"/>
        <v>0</v>
      </c>
      <c r="AF53" s="284">
        <f>+AC$27*AE53+AD53</f>
        <v>0</v>
      </c>
      <c r="AG53" s="291">
        <f>+AG52</f>
        <v>0</v>
      </c>
      <c r="AH53" s="289">
        <f t="shared" si="23"/>
        <v>0</v>
      </c>
      <c r="AI53" s="289">
        <f t="shared" si="3"/>
        <v>0</v>
      </c>
      <c r="AJ53" s="284">
        <f>+AG$27*AI53+AH53</f>
        <v>0</v>
      </c>
      <c r="AK53" s="291">
        <f>+AK52</f>
        <v>0</v>
      </c>
      <c r="AL53" s="289">
        <f t="shared" si="24"/>
        <v>0</v>
      </c>
      <c r="AM53" s="289">
        <f t="shared" si="13"/>
        <v>0</v>
      </c>
      <c r="AN53" s="284">
        <f>+AK$27*AM53+AL53</f>
        <v>0</v>
      </c>
      <c r="AO53" s="291">
        <f>+AO52</f>
        <v>0</v>
      </c>
      <c r="AP53" s="289">
        <f t="shared" si="25"/>
        <v>0</v>
      </c>
      <c r="AQ53" s="289">
        <f t="shared" si="14"/>
        <v>0</v>
      </c>
      <c r="AR53" s="284">
        <f>+AO$27*AQ53+AP53</f>
        <v>0</v>
      </c>
      <c r="AS53" s="291">
        <f>+AS52</f>
        <v>0</v>
      </c>
      <c r="AT53" s="289">
        <f t="shared" si="26"/>
        <v>0</v>
      </c>
      <c r="AU53" s="289">
        <f t="shared" si="15"/>
        <v>0</v>
      </c>
      <c r="AV53" s="284">
        <f>+AS$27*AU53+AT53</f>
        <v>0</v>
      </c>
      <c r="AW53" s="302">
        <f t="shared" si="16"/>
        <v>0</v>
      </c>
      <c r="AX53" s="597">
        <f>+AW53</f>
        <v>0</v>
      </c>
      <c r="AY53" s="265"/>
    </row>
    <row r="54" spans="1:51" ht="12.75">
      <c r="A54" s="223">
        <f t="shared" si="27"/>
        <v>43</v>
      </c>
      <c r="C54" s="544" t="str">
        <f t="shared" si="4"/>
        <v>W  11.68 % ROE</v>
      </c>
      <c r="D54" s="288">
        <f t="shared" si="5"/>
        <v>2019</v>
      </c>
      <c r="E54" s="289"/>
      <c r="F54" s="289">
        <v>0</v>
      </c>
      <c r="G54" s="289">
        <f t="shared" si="7"/>
        <v>0</v>
      </c>
      <c r="H54" s="286">
        <f>+E$26*G54+F54</f>
        <v>0</v>
      </c>
      <c r="I54" s="291">
        <f>+K53</f>
        <v>0</v>
      </c>
      <c r="J54" s="289">
        <f t="shared" si="21"/>
        <v>0</v>
      </c>
      <c r="K54" s="289">
        <f t="shared" si="1"/>
        <v>0</v>
      </c>
      <c r="L54" s="284">
        <f>+I$26*K54+J54</f>
        <v>0</v>
      </c>
      <c r="M54" s="291"/>
      <c r="N54" s="289">
        <f t="shared" si="22"/>
        <v>0</v>
      </c>
      <c r="O54" s="289">
        <f t="shared" si="17"/>
        <v>0</v>
      </c>
      <c r="P54" s="284">
        <f>+M$26*O54+N54</f>
        <v>0</v>
      </c>
      <c r="Q54" s="291">
        <f>+S53</f>
        <v>0</v>
      </c>
      <c r="R54" s="289">
        <f t="shared" si="18"/>
        <v>0</v>
      </c>
      <c r="S54" s="289">
        <f t="shared" si="8"/>
        <v>0</v>
      </c>
      <c r="T54" s="284">
        <f>+Q$26*S54+R54</f>
        <v>0</v>
      </c>
      <c r="U54" s="291">
        <f>+W53</f>
        <v>0</v>
      </c>
      <c r="V54" s="289">
        <f t="shared" si="19"/>
        <v>0</v>
      </c>
      <c r="W54" s="289">
        <f t="shared" si="9"/>
        <v>0</v>
      </c>
      <c r="X54" s="284">
        <f>+U$26*W54+V54</f>
        <v>0</v>
      </c>
      <c r="Y54" s="291">
        <f>+AA53</f>
        <v>0</v>
      </c>
      <c r="Z54" s="289">
        <f t="shared" si="20"/>
        <v>0</v>
      </c>
      <c r="AA54" s="289">
        <f t="shared" si="10"/>
        <v>0</v>
      </c>
      <c r="AB54" s="284">
        <f>+Y$26*AA54+Z54</f>
        <v>0</v>
      </c>
      <c r="AC54" s="291">
        <f>+AE53</f>
        <v>0</v>
      </c>
      <c r="AD54" s="289">
        <f aca="true" t="shared" si="28" ref="AD54:AD71">+AD53</f>
        <v>0</v>
      </c>
      <c r="AE54" s="289">
        <f t="shared" si="12"/>
        <v>0</v>
      </c>
      <c r="AF54" s="284">
        <f>+AC$26*AE54+AD54</f>
        <v>0</v>
      </c>
      <c r="AG54" s="291">
        <f>+AI53</f>
        <v>0</v>
      </c>
      <c r="AH54" s="289">
        <f t="shared" si="23"/>
        <v>0</v>
      </c>
      <c r="AI54" s="289">
        <f t="shared" si="3"/>
        <v>0</v>
      </c>
      <c r="AJ54" s="284">
        <f>+AG$26*AI54+AH54</f>
        <v>0</v>
      </c>
      <c r="AK54" s="291">
        <f>+AM53</f>
        <v>0</v>
      </c>
      <c r="AL54" s="289">
        <f t="shared" si="24"/>
        <v>0</v>
      </c>
      <c r="AM54" s="289">
        <f t="shared" si="13"/>
        <v>0</v>
      </c>
      <c r="AN54" s="284">
        <f>+AK$26*AM54+AL54</f>
        <v>0</v>
      </c>
      <c r="AO54" s="291">
        <f>+AQ53</f>
        <v>0</v>
      </c>
      <c r="AP54" s="289">
        <f t="shared" si="25"/>
        <v>0</v>
      </c>
      <c r="AQ54" s="289">
        <f t="shared" si="14"/>
        <v>0</v>
      </c>
      <c r="AR54" s="284">
        <f>+AO$26*AQ54+AP54</f>
        <v>0</v>
      </c>
      <c r="AS54" s="291">
        <f>+AU53</f>
        <v>0</v>
      </c>
      <c r="AT54" s="289">
        <f t="shared" si="26"/>
        <v>0</v>
      </c>
      <c r="AU54" s="289">
        <f t="shared" si="15"/>
        <v>0</v>
      </c>
      <c r="AV54" s="284">
        <f>+AS$26*AU54+AT54</f>
        <v>0</v>
      </c>
      <c r="AW54" s="302">
        <f t="shared" si="16"/>
        <v>0</v>
      </c>
      <c r="AX54" s="266"/>
      <c r="AY54" s="290">
        <f>+AW54</f>
        <v>0</v>
      </c>
    </row>
    <row r="55" spans="1:51" ht="12.75">
      <c r="A55" s="223">
        <f t="shared" si="27"/>
        <v>44</v>
      </c>
      <c r="C55" s="544" t="str">
        <f t="shared" si="4"/>
        <v>W Increased ROE</v>
      </c>
      <c r="D55" s="288">
        <f t="shared" si="5"/>
        <v>2019</v>
      </c>
      <c r="E55" s="289"/>
      <c r="F55" s="289">
        <v>0</v>
      </c>
      <c r="G55" s="289">
        <f t="shared" si="7"/>
        <v>0</v>
      </c>
      <c r="H55" s="286">
        <f>+E$27*G55+F55</f>
        <v>0</v>
      </c>
      <c r="I55" s="291">
        <f>+I54</f>
        <v>0</v>
      </c>
      <c r="J55" s="289">
        <f t="shared" si="21"/>
        <v>0</v>
      </c>
      <c r="K55" s="289">
        <f t="shared" si="1"/>
        <v>0</v>
      </c>
      <c r="L55" s="284">
        <f>+I$27*K55+J55</f>
        <v>0</v>
      </c>
      <c r="M55" s="291"/>
      <c r="N55" s="289">
        <f t="shared" si="22"/>
        <v>0</v>
      </c>
      <c r="O55" s="289">
        <f t="shared" si="17"/>
        <v>0</v>
      </c>
      <c r="P55" s="284">
        <f>+M$27*O55+N55</f>
        <v>0</v>
      </c>
      <c r="Q55" s="291">
        <f>+Q54</f>
        <v>0</v>
      </c>
      <c r="R55" s="289">
        <f t="shared" si="18"/>
        <v>0</v>
      </c>
      <c r="S55" s="289">
        <f t="shared" si="8"/>
        <v>0</v>
      </c>
      <c r="T55" s="284">
        <f>+Q$27*S55+R55</f>
        <v>0</v>
      </c>
      <c r="U55" s="291">
        <f>+U54</f>
        <v>0</v>
      </c>
      <c r="V55" s="289">
        <f t="shared" si="19"/>
        <v>0</v>
      </c>
      <c r="W55" s="289">
        <f t="shared" si="9"/>
        <v>0</v>
      </c>
      <c r="X55" s="284">
        <f>+U$27*W55+V55</f>
        <v>0</v>
      </c>
      <c r="Y55" s="291">
        <f>+Y54</f>
        <v>0</v>
      </c>
      <c r="Z55" s="289">
        <f t="shared" si="20"/>
        <v>0</v>
      </c>
      <c r="AA55" s="289">
        <f t="shared" si="10"/>
        <v>0</v>
      </c>
      <c r="AB55" s="284">
        <f>+Y$27*AA55+Z55</f>
        <v>0</v>
      </c>
      <c r="AC55" s="291">
        <f>+AC54</f>
        <v>0</v>
      </c>
      <c r="AD55" s="289">
        <f t="shared" si="28"/>
        <v>0</v>
      </c>
      <c r="AE55" s="289">
        <f t="shared" si="12"/>
        <v>0</v>
      </c>
      <c r="AF55" s="284">
        <f>+AC$27*AE55+AD55</f>
        <v>0</v>
      </c>
      <c r="AG55" s="291">
        <f>+AG54</f>
        <v>0</v>
      </c>
      <c r="AH55" s="289">
        <f t="shared" si="23"/>
        <v>0</v>
      </c>
      <c r="AI55" s="289">
        <f t="shared" si="3"/>
        <v>0</v>
      </c>
      <c r="AJ55" s="284">
        <f>+AG$27*AI55+AH55</f>
        <v>0</v>
      </c>
      <c r="AK55" s="291">
        <f>+AK54</f>
        <v>0</v>
      </c>
      <c r="AL55" s="289">
        <f t="shared" si="24"/>
        <v>0</v>
      </c>
      <c r="AM55" s="289">
        <f t="shared" si="13"/>
        <v>0</v>
      </c>
      <c r="AN55" s="284">
        <f>+AK$27*AM55+AL55</f>
        <v>0</v>
      </c>
      <c r="AO55" s="291">
        <f>+AO54</f>
        <v>0</v>
      </c>
      <c r="AP55" s="289">
        <f t="shared" si="25"/>
        <v>0</v>
      </c>
      <c r="AQ55" s="289">
        <f t="shared" si="14"/>
        <v>0</v>
      </c>
      <c r="AR55" s="284">
        <f>+AO$27*AQ55+AP55</f>
        <v>0</v>
      </c>
      <c r="AS55" s="291">
        <f>+AS54</f>
        <v>0</v>
      </c>
      <c r="AT55" s="289">
        <f t="shared" si="26"/>
        <v>0</v>
      </c>
      <c r="AU55" s="289">
        <f t="shared" si="15"/>
        <v>0</v>
      </c>
      <c r="AV55" s="284">
        <f>+AS$27*AU55+AT55</f>
        <v>0</v>
      </c>
      <c r="AW55" s="302">
        <f t="shared" si="16"/>
        <v>0</v>
      </c>
      <c r="AX55" s="597">
        <f>+AW55</f>
        <v>0</v>
      </c>
      <c r="AY55" s="265"/>
    </row>
    <row r="56" spans="1:51" ht="12.75">
      <c r="A56" s="223">
        <f t="shared" si="27"/>
        <v>45</v>
      </c>
      <c r="C56" s="544" t="str">
        <f t="shared" si="4"/>
        <v>W  11.68 % ROE</v>
      </c>
      <c r="D56" s="288">
        <f t="shared" si="5"/>
        <v>2020</v>
      </c>
      <c r="E56" s="289"/>
      <c r="F56" s="289">
        <v>0</v>
      </c>
      <c r="G56" s="289">
        <f t="shared" si="7"/>
        <v>0</v>
      </c>
      <c r="H56" s="286">
        <f>+E$26*G56+F56</f>
        <v>0</v>
      </c>
      <c r="I56" s="291">
        <f>+K55</f>
        <v>0</v>
      </c>
      <c r="J56" s="289">
        <f t="shared" si="21"/>
        <v>0</v>
      </c>
      <c r="K56" s="289">
        <f t="shared" si="1"/>
        <v>0</v>
      </c>
      <c r="L56" s="284">
        <f>+I$26*K56+J56</f>
        <v>0</v>
      </c>
      <c r="M56" s="291"/>
      <c r="N56" s="289">
        <f t="shared" si="22"/>
        <v>0</v>
      </c>
      <c r="O56" s="289">
        <f t="shared" si="17"/>
        <v>0</v>
      </c>
      <c r="P56" s="284">
        <f>+M$26*O56+N56</f>
        <v>0</v>
      </c>
      <c r="Q56" s="291">
        <f>+S55</f>
        <v>0</v>
      </c>
      <c r="R56" s="289">
        <f t="shared" si="18"/>
        <v>0</v>
      </c>
      <c r="S56" s="289">
        <f t="shared" si="8"/>
        <v>0</v>
      </c>
      <c r="T56" s="284">
        <f>+Q$26*S56+R56</f>
        <v>0</v>
      </c>
      <c r="U56" s="291">
        <f>+W55</f>
        <v>0</v>
      </c>
      <c r="V56" s="289">
        <f t="shared" si="19"/>
        <v>0</v>
      </c>
      <c r="W56" s="289">
        <f t="shared" si="9"/>
        <v>0</v>
      </c>
      <c r="X56" s="284">
        <f>+U$26*W56+V56</f>
        <v>0</v>
      </c>
      <c r="Y56" s="291">
        <f>+AA55</f>
        <v>0</v>
      </c>
      <c r="Z56" s="289">
        <f t="shared" si="20"/>
        <v>0</v>
      </c>
      <c r="AA56" s="289">
        <f t="shared" si="10"/>
        <v>0</v>
      </c>
      <c r="AB56" s="284">
        <f>+Y$26*AA56+Z56</f>
        <v>0</v>
      </c>
      <c r="AC56" s="291">
        <f>+AE55</f>
        <v>0</v>
      </c>
      <c r="AD56" s="289">
        <f t="shared" si="28"/>
        <v>0</v>
      </c>
      <c r="AE56" s="289">
        <f t="shared" si="12"/>
        <v>0</v>
      </c>
      <c r="AF56" s="284">
        <f>+AC$26*AE56+AD56</f>
        <v>0</v>
      </c>
      <c r="AG56" s="291">
        <f>+AI55</f>
        <v>0</v>
      </c>
      <c r="AH56" s="289">
        <f t="shared" si="23"/>
        <v>0</v>
      </c>
      <c r="AI56" s="289">
        <f t="shared" si="3"/>
        <v>0</v>
      </c>
      <c r="AJ56" s="284">
        <f>+AG$26*AI56+AH56</f>
        <v>0</v>
      </c>
      <c r="AK56" s="291">
        <f>+AM55</f>
        <v>0</v>
      </c>
      <c r="AL56" s="289">
        <f t="shared" si="24"/>
        <v>0</v>
      </c>
      <c r="AM56" s="289">
        <f t="shared" si="13"/>
        <v>0</v>
      </c>
      <c r="AN56" s="284">
        <f>+AK$26*AM56+AL56</f>
        <v>0</v>
      </c>
      <c r="AO56" s="291">
        <f>+AQ55</f>
        <v>0</v>
      </c>
      <c r="AP56" s="289">
        <f t="shared" si="25"/>
        <v>0</v>
      </c>
      <c r="AQ56" s="289">
        <f t="shared" si="14"/>
        <v>0</v>
      </c>
      <c r="AR56" s="284">
        <f>+AO$26*AQ56+AP56</f>
        <v>0</v>
      </c>
      <c r="AS56" s="291">
        <f>+AU55</f>
        <v>0</v>
      </c>
      <c r="AT56" s="289">
        <f t="shared" si="26"/>
        <v>0</v>
      </c>
      <c r="AU56" s="289">
        <f t="shared" si="15"/>
        <v>0</v>
      </c>
      <c r="AV56" s="284">
        <f>+AS$26*AU56+AT56</f>
        <v>0</v>
      </c>
      <c r="AW56" s="302">
        <f t="shared" si="16"/>
        <v>0</v>
      </c>
      <c r="AX56" s="266"/>
      <c r="AY56" s="290">
        <f>+AW56</f>
        <v>0</v>
      </c>
    </row>
    <row r="57" spans="1:51" ht="12.75">
      <c r="A57" s="223">
        <f t="shared" si="27"/>
        <v>46</v>
      </c>
      <c r="C57" s="544" t="str">
        <f t="shared" si="4"/>
        <v>W Increased ROE</v>
      </c>
      <c r="D57" s="288">
        <f t="shared" si="5"/>
        <v>2020</v>
      </c>
      <c r="E57" s="289"/>
      <c r="F57" s="289">
        <v>0</v>
      </c>
      <c r="G57" s="289">
        <f t="shared" si="7"/>
        <v>0</v>
      </c>
      <c r="H57" s="286">
        <f>+E$27*G57+F57</f>
        <v>0</v>
      </c>
      <c r="I57" s="291">
        <f>+I56</f>
        <v>0</v>
      </c>
      <c r="J57" s="289">
        <f t="shared" si="21"/>
        <v>0</v>
      </c>
      <c r="K57" s="289">
        <f t="shared" si="1"/>
        <v>0</v>
      </c>
      <c r="L57" s="284">
        <f>+I$27*K57+J57</f>
        <v>0</v>
      </c>
      <c r="M57" s="291"/>
      <c r="N57" s="289">
        <f t="shared" si="22"/>
        <v>0</v>
      </c>
      <c r="O57" s="289">
        <f t="shared" si="17"/>
        <v>0</v>
      </c>
      <c r="P57" s="284">
        <f>+M$27*O57+N57</f>
        <v>0</v>
      </c>
      <c r="Q57" s="291">
        <f>+Q56</f>
        <v>0</v>
      </c>
      <c r="R57" s="289">
        <f t="shared" si="18"/>
        <v>0</v>
      </c>
      <c r="S57" s="289">
        <f t="shared" si="8"/>
        <v>0</v>
      </c>
      <c r="T57" s="284">
        <f>+Q$27*S57+R57</f>
        <v>0</v>
      </c>
      <c r="U57" s="291">
        <f>+U56</f>
        <v>0</v>
      </c>
      <c r="V57" s="289">
        <f t="shared" si="19"/>
        <v>0</v>
      </c>
      <c r="W57" s="289">
        <f t="shared" si="9"/>
        <v>0</v>
      </c>
      <c r="X57" s="284">
        <f>+U$27*W57+V57</f>
        <v>0</v>
      </c>
      <c r="Y57" s="291">
        <f>+Y56</f>
        <v>0</v>
      </c>
      <c r="Z57" s="289">
        <f t="shared" si="20"/>
        <v>0</v>
      </c>
      <c r="AA57" s="289">
        <f t="shared" si="10"/>
        <v>0</v>
      </c>
      <c r="AB57" s="284">
        <f>+Y$27*AA57+Z57</f>
        <v>0</v>
      </c>
      <c r="AC57" s="291">
        <f>+AC56</f>
        <v>0</v>
      </c>
      <c r="AD57" s="289">
        <f t="shared" si="28"/>
        <v>0</v>
      </c>
      <c r="AE57" s="289">
        <f t="shared" si="12"/>
        <v>0</v>
      </c>
      <c r="AF57" s="284">
        <f>+AC$27*AE57+AD57</f>
        <v>0</v>
      </c>
      <c r="AG57" s="291">
        <f>+AG56</f>
        <v>0</v>
      </c>
      <c r="AH57" s="289">
        <f t="shared" si="23"/>
        <v>0</v>
      </c>
      <c r="AI57" s="289">
        <f t="shared" si="3"/>
        <v>0</v>
      </c>
      <c r="AJ57" s="284">
        <f>+AG$27*AI57+AH57</f>
        <v>0</v>
      </c>
      <c r="AK57" s="291">
        <f>+AK56</f>
        <v>0</v>
      </c>
      <c r="AL57" s="289">
        <f t="shared" si="24"/>
        <v>0</v>
      </c>
      <c r="AM57" s="289">
        <f t="shared" si="13"/>
        <v>0</v>
      </c>
      <c r="AN57" s="284">
        <f>+AK$27*AM57+AL57</f>
        <v>0</v>
      </c>
      <c r="AO57" s="291">
        <f>+AO56</f>
        <v>0</v>
      </c>
      <c r="AP57" s="289">
        <f t="shared" si="25"/>
        <v>0</v>
      </c>
      <c r="AQ57" s="289">
        <f t="shared" si="14"/>
        <v>0</v>
      </c>
      <c r="AR57" s="284">
        <f>+AO$27*AQ57+AP57</f>
        <v>0</v>
      </c>
      <c r="AS57" s="291">
        <f>+AS56</f>
        <v>0</v>
      </c>
      <c r="AT57" s="289">
        <f t="shared" si="26"/>
        <v>0</v>
      </c>
      <c r="AU57" s="289">
        <f t="shared" si="15"/>
        <v>0</v>
      </c>
      <c r="AV57" s="284">
        <f>+AS$27*AU57+AT57</f>
        <v>0</v>
      </c>
      <c r="AW57" s="302">
        <f t="shared" si="16"/>
        <v>0</v>
      </c>
      <c r="AX57" s="597">
        <f>+AW57</f>
        <v>0</v>
      </c>
      <c r="AY57" s="265"/>
    </row>
    <row r="58" spans="1:51" ht="12.75">
      <c r="A58" s="223">
        <f t="shared" si="27"/>
        <v>47</v>
      </c>
      <c r="C58" s="544" t="str">
        <f t="shared" si="4"/>
        <v>W  11.68 % ROE</v>
      </c>
      <c r="D58" s="288">
        <f t="shared" si="5"/>
        <v>2021</v>
      </c>
      <c r="E58" s="289"/>
      <c r="F58" s="289">
        <v>0</v>
      </c>
      <c r="G58" s="289">
        <f t="shared" si="7"/>
        <v>0</v>
      </c>
      <c r="H58" s="286">
        <f>+E$26*G58+F58</f>
        <v>0</v>
      </c>
      <c r="I58" s="291">
        <f>+K57</f>
        <v>0</v>
      </c>
      <c r="J58" s="289">
        <f t="shared" si="21"/>
        <v>0</v>
      </c>
      <c r="K58" s="289">
        <f t="shared" si="1"/>
        <v>0</v>
      </c>
      <c r="L58" s="284">
        <f>+I$26*K58+J58</f>
        <v>0</v>
      </c>
      <c r="M58" s="291"/>
      <c r="N58" s="289">
        <f t="shared" si="22"/>
        <v>0</v>
      </c>
      <c r="O58" s="289">
        <f t="shared" si="17"/>
        <v>0</v>
      </c>
      <c r="P58" s="284">
        <f>+M$26*O58+N58</f>
        <v>0</v>
      </c>
      <c r="Q58" s="291">
        <f>+S57</f>
        <v>0</v>
      </c>
      <c r="R58" s="289">
        <f t="shared" si="18"/>
        <v>0</v>
      </c>
      <c r="S58" s="289">
        <f t="shared" si="8"/>
        <v>0</v>
      </c>
      <c r="T58" s="284">
        <f>+Q$26*S58+R58</f>
        <v>0</v>
      </c>
      <c r="U58" s="291">
        <f>+W57</f>
        <v>0</v>
      </c>
      <c r="V58" s="289">
        <f t="shared" si="19"/>
        <v>0</v>
      </c>
      <c r="W58" s="289">
        <f t="shared" si="9"/>
        <v>0</v>
      </c>
      <c r="X58" s="284">
        <f>+U$26*W58+V58</f>
        <v>0</v>
      </c>
      <c r="Y58" s="291">
        <f>+AA57</f>
        <v>0</v>
      </c>
      <c r="Z58" s="289">
        <f t="shared" si="20"/>
        <v>0</v>
      </c>
      <c r="AA58" s="289">
        <f t="shared" si="10"/>
        <v>0</v>
      </c>
      <c r="AB58" s="284">
        <f>+Y$26*AA58+Z58</f>
        <v>0</v>
      </c>
      <c r="AC58" s="291">
        <f>+AE57</f>
        <v>0</v>
      </c>
      <c r="AD58" s="289">
        <f t="shared" si="28"/>
        <v>0</v>
      </c>
      <c r="AE58" s="289">
        <f t="shared" si="12"/>
        <v>0</v>
      </c>
      <c r="AF58" s="284">
        <f>+AC$26*AE58+AD58</f>
        <v>0</v>
      </c>
      <c r="AG58" s="291">
        <f>+AI57</f>
        <v>0</v>
      </c>
      <c r="AH58" s="289">
        <f t="shared" si="23"/>
        <v>0</v>
      </c>
      <c r="AI58" s="289">
        <f t="shared" si="3"/>
        <v>0</v>
      </c>
      <c r="AJ58" s="284">
        <f>+AG$26*AI58+AH58</f>
        <v>0</v>
      </c>
      <c r="AK58" s="291">
        <f>+AM57</f>
        <v>0</v>
      </c>
      <c r="AL58" s="289">
        <f t="shared" si="24"/>
        <v>0</v>
      </c>
      <c r="AM58" s="289">
        <f t="shared" si="13"/>
        <v>0</v>
      </c>
      <c r="AN58" s="284">
        <f>+AK$26*AM58+AL58</f>
        <v>0</v>
      </c>
      <c r="AO58" s="291">
        <f>+AQ57</f>
        <v>0</v>
      </c>
      <c r="AP58" s="289">
        <f t="shared" si="25"/>
        <v>0</v>
      </c>
      <c r="AQ58" s="289">
        <f t="shared" si="14"/>
        <v>0</v>
      </c>
      <c r="AR58" s="284">
        <f>+AO$26*AQ58+AP58</f>
        <v>0</v>
      </c>
      <c r="AS58" s="291">
        <f>+AU57</f>
        <v>0</v>
      </c>
      <c r="AT58" s="289">
        <f t="shared" si="26"/>
        <v>0</v>
      </c>
      <c r="AU58" s="289">
        <f t="shared" si="15"/>
        <v>0</v>
      </c>
      <c r="AV58" s="284">
        <f>+AS$26*AU58+AT58</f>
        <v>0</v>
      </c>
      <c r="AW58" s="302">
        <f t="shared" si="16"/>
        <v>0</v>
      </c>
      <c r="AX58" s="266"/>
      <c r="AY58" s="290">
        <f>+AW58</f>
        <v>0</v>
      </c>
    </row>
    <row r="59" spans="1:51" ht="12.75">
      <c r="A59" s="223">
        <f t="shared" si="27"/>
        <v>48</v>
      </c>
      <c r="C59" s="544" t="str">
        <f t="shared" si="4"/>
        <v>W Increased ROE</v>
      </c>
      <c r="D59" s="288">
        <f t="shared" si="5"/>
        <v>2021</v>
      </c>
      <c r="E59" s="289"/>
      <c r="F59" s="289">
        <v>0</v>
      </c>
      <c r="G59" s="289">
        <f t="shared" si="7"/>
        <v>0</v>
      </c>
      <c r="H59" s="286">
        <f>+E$27*G59+F59</f>
        <v>0</v>
      </c>
      <c r="I59" s="291">
        <f>+I58</f>
        <v>0</v>
      </c>
      <c r="J59" s="289">
        <f t="shared" si="21"/>
        <v>0</v>
      </c>
      <c r="K59" s="289">
        <f t="shared" si="1"/>
        <v>0</v>
      </c>
      <c r="L59" s="284">
        <f>+I$27*K59+J59</f>
        <v>0</v>
      </c>
      <c r="M59" s="291"/>
      <c r="N59" s="289">
        <f t="shared" si="22"/>
        <v>0</v>
      </c>
      <c r="O59" s="289">
        <f t="shared" si="17"/>
        <v>0</v>
      </c>
      <c r="P59" s="284">
        <f>+M$27*O59+N59</f>
        <v>0</v>
      </c>
      <c r="Q59" s="291">
        <f>+Q58</f>
        <v>0</v>
      </c>
      <c r="R59" s="289">
        <f t="shared" si="18"/>
        <v>0</v>
      </c>
      <c r="S59" s="289">
        <f t="shared" si="8"/>
        <v>0</v>
      </c>
      <c r="T59" s="284">
        <f>+Q$27*S59+R59</f>
        <v>0</v>
      </c>
      <c r="U59" s="291">
        <f>+U58</f>
        <v>0</v>
      </c>
      <c r="V59" s="289">
        <f t="shared" si="19"/>
        <v>0</v>
      </c>
      <c r="W59" s="289">
        <f t="shared" si="9"/>
        <v>0</v>
      </c>
      <c r="X59" s="284">
        <f>+U$27*W59+V59</f>
        <v>0</v>
      </c>
      <c r="Y59" s="291">
        <f>+Y58</f>
        <v>0</v>
      </c>
      <c r="Z59" s="289">
        <f t="shared" si="20"/>
        <v>0</v>
      </c>
      <c r="AA59" s="289">
        <f t="shared" si="10"/>
        <v>0</v>
      </c>
      <c r="AB59" s="284">
        <f>+Y$27*AA59+Z59</f>
        <v>0</v>
      </c>
      <c r="AC59" s="291">
        <f>+AC58</f>
        <v>0</v>
      </c>
      <c r="AD59" s="289">
        <f t="shared" si="28"/>
        <v>0</v>
      </c>
      <c r="AE59" s="289">
        <f t="shared" si="12"/>
        <v>0</v>
      </c>
      <c r="AF59" s="284">
        <f>+AC$27*AE59+AD59</f>
        <v>0</v>
      </c>
      <c r="AG59" s="291">
        <f>+AG58</f>
        <v>0</v>
      </c>
      <c r="AH59" s="289">
        <f t="shared" si="23"/>
        <v>0</v>
      </c>
      <c r="AI59" s="289">
        <f t="shared" si="3"/>
        <v>0</v>
      </c>
      <c r="AJ59" s="284">
        <f>+AG$27*AI59+AH59</f>
        <v>0</v>
      </c>
      <c r="AK59" s="291">
        <f>+AK58</f>
        <v>0</v>
      </c>
      <c r="AL59" s="289">
        <f t="shared" si="24"/>
        <v>0</v>
      </c>
      <c r="AM59" s="289">
        <f t="shared" si="13"/>
        <v>0</v>
      </c>
      <c r="AN59" s="284">
        <f>+AK$27*AM59+AL59</f>
        <v>0</v>
      </c>
      <c r="AO59" s="291">
        <f>+AO58</f>
        <v>0</v>
      </c>
      <c r="AP59" s="289">
        <f t="shared" si="25"/>
        <v>0</v>
      </c>
      <c r="AQ59" s="289">
        <f t="shared" si="14"/>
        <v>0</v>
      </c>
      <c r="AR59" s="284">
        <f>+AO$27*AQ59+AP59</f>
        <v>0</v>
      </c>
      <c r="AS59" s="291">
        <f>+AS58</f>
        <v>0</v>
      </c>
      <c r="AT59" s="289">
        <f t="shared" si="26"/>
        <v>0</v>
      </c>
      <c r="AU59" s="289">
        <f t="shared" si="15"/>
        <v>0</v>
      </c>
      <c r="AV59" s="284">
        <f>+AS$27*AU59+AT59</f>
        <v>0</v>
      </c>
      <c r="AW59" s="302">
        <f t="shared" si="16"/>
        <v>0</v>
      </c>
      <c r="AX59" s="597">
        <f>+AW59</f>
        <v>0</v>
      </c>
      <c r="AY59" s="265"/>
    </row>
    <row r="60" spans="1:51" ht="12.75">
      <c r="A60" s="223">
        <f t="shared" si="27"/>
        <v>49</v>
      </c>
      <c r="C60" s="544" t="str">
        <f t="shared" si="4"/>
        <v>W  11.68 % ROE</v>
      </c>
      <c r="D60" s="288">
        <f t="shared" si="5"/>
        <v>2022</v>
      </c>
      <c r="E60" s="289"/>
      <c r="F60" s="289">
        <v>0</v>
      </c>
      <c r="G60" s="289">
        <f t="shared" si="7"/>
        <v>0</v>
      </c>
      <c r="H60" s="286">
        <f>+E$26*G60+F60</f>
        <v>0</v>
      </c>
      <c r="I60" s="291">
        <f>+K59</f>
        <v>0</v>
      </c>
      <c r="J60" s="289">
        <f t="shared" si="21"/>
        <v>0</v>
      </c>
      <c r="K60" s="289">
        <f t="shared" si="1"/>
        <v>0</v>
      </c>
      <c r="L60" s="284">
        <f>+I$26*K60+J60</f>
        <v>0</v>
      </c>
      <c r="M60" s="291"/>
      <c r="N60" s="289">
        <f t="shared" si="22"/>
        <v>0</v>
      </c>
      <c r="O60" s="289">
        <f t="shared" si="17"/>
        <v>0</v>
      </c>
      <c r="P60" s="284">
        <f>+M$26*O60+N60</f>
        <v>0</v>
      </c>
      <c r="Q60" s="291">
        <f>+S59</f>
        <v>0</v>
      </c>
      <c r="R60" s="289">
        <f t="shared" si="18"/>
        <v>0</v>
      </c>
      <c r="S60" s="289">
        <f t="shared" si="8"/>
        <v>0</v>
      </c>
      <c r="T60" s="284">
        <f>+Q$26*S60+R60</f>
        <v>0</v>
      </c>
      <c r="U60" s="291">
        <f>+W59</f>
        <v>0</v>
      </c>
      <c r="V60" s="289">
        <f t="shared" si="19"/>
        <v>0</v>
      </c>
      <c r="W60" s="289">
        <f t="shared" si="9"/>
        <v>0</v>
      </c>
      <c r="X60" s="284">
        <f>+U$26*W60+V60</f>
        <v>0</v>
      </c>
      <c r="Y60" s="291">
        <f>+AA59</f>
        <v>0</v>
      </c>
      <c r="Z60" s="289">
        <f t="shared" si="20"/>
        <v>0</v>
      </c>
      <c r="AA60" s="289">
        <f t="shared" si="10"/>
        <v>0</v>
      </c>
      <c r="AB60" s="284">
        <f>+Y$26*AA60+Z60</f>
        <v>0</v>
      </c>
      <c r="AC60" s="291">
        <f>+AE59</f>
        <v>0</v>
      </c>
      <c r="AD60" s="289">
        <f t="shared" si="28"/>
        <v>0</v>
      </c>
      <c r="AE60" s="289">
        <f t="shared" si="12"/>
        <v>0</v>
      </c>
      <c r="AF60" s="284">
        <f>+AC$26*AE60+AD60</f>
        <v>0</v>
      </c>
      <c r="AG60" s="291">
        <f>+AI59</f>
        <v>0</v>
      </c>
      <c r="AH60" s="289">
        <f t="shared" si="23"/>
        <v>0</v>
      </c>
      <c r="AI60" s="289">
        <f t="shared" si="3"/>
        <v>0</v>
      </c>
      <c r="AJ60" s="284">
        <f>+AG$26*AI60+AH60</f>
        <v>0</v>
      </c>
      <c r="AK60" s="291">
        <f>+AM59</f>
        <v>0</v>
      </c>
      <c r="AL60" s="289">
        <f t="shared" si="24"/>
        <v>0</v>
      </c>
      <c r="AM60" s="289">
        <f t="shared" si="13"/>
        <v>0</v>
      </c>
      <c r="AN60" s="284">
        <f>+AK$26*AM60+AL60</f>
        <v>0</v>
      </c>
      <c r="AO60" s="291">
        <f>+AQ59</f>
        <v>0</v>
      </c>
      <c r="AP60" s="289">
        <f t="shared" si="25"/>
        <v>0</v>
      </c>
      <c r="AQ60" s="289">
        <f t="shared" si="14"/>
        <v>0</v>
      </c>
      <c r="AR60" s="284">
        <f>+AO$26*AQ60+AP60</f>
        <v>0</v>
      </c>
      <c r="AS60" s="291">
        <f>+AU59</f>
        <v>0</v>
      </c>
      <c r="AT60" s="289">
        <f t="shared" si="26"/>
        <v>0</v>
      </c>
      <c r="AU60" s="289">
        <f t="shared" si="15"/>
        <v>0</v>
      </c>
      <c r="AV60" s="284">
        <f>+AS$26*AU60+AT60</f>
        <v>0</v>
      </c>
      <c r="AW60" s="302">
        <f t="shared" si="16"/>
        <v>0</v>
      </c>
      <c r="AX60" s="266"/>
      <c r="AY60" s="290">
        <f>+AW60</f>
        <v>0</v>
      </c>
    </row>
    <row r="61" spans="1:51" ht="12.75">
      <c r="A61" s="223">
        <f t="shared" si="27"/>
        <v>50</v>
      </c>
      <c r="C61" s="544" t="str">
        <f t="shared" si="4"/>
        <v>W Increased ROE</v>
      </c>
      <c r="D61" s="288">
        <f t="shared" si="5"/>
        <v>2022</v>
      </c>
      <c r="E61" s="289"/>
      <c r="F61" s="289">
        <v>0</v>
      </c>
      <c r="G61" s="289">
        <f t="shared" si="7"/>
        <v>0</v>
      </c>
      <c r="H61" s="286">
        <f>+E$27*G61+F61</f>
        <v>0</v>
      </c>
      <c r="I61" s="291">
        <f>+I60</f>
        <v>0</v>
      </c>
      <c r="J61" s="289">
        <f t="shared" si="21"/>
        <v>0</v>
      </c>
      <c r="K61" s="289">
        <f t="shared" si="1"/>
        <v>0</v>
      </c>
      <c r="L61" s="284">
        <f>+I$27*K61+J61</f>
        <v>0</v>
      </c>
      <c r="M61" s="291"/>
      <c r="N61" s="289">
        <f t="shared" si="22"/>
        <v>0</v>
      </c>
      <c r="O61" s="289">
        <f t="shared" si="17"/>
        <v>0</v>
      </c>
      <c r="P61" s="284">
        <f>+M$27*O61+N61</f>
        <v>0</v>
      </c>
      <c r="Q61" s="291">
        <f>+Q60</f>
        <v>0</v>
      </c>
      <c r="R61" s="289">
        <f t="shared" si="18"/>
        <v>0</v>
      </c>
      <c r="S61" s="289">
        <f t="shared" si="8"/>
        <v>0</v>
      </c>
      <c r="T61" s="284">
        <f>+Q$27*S61+R61</f>
        <v>0</v>
      </c>
      <c r="U61" s="291">
        <f>+U60</f>
        <v>0</v>
      </c>
      <c r="V61" s="289">
        <f t="shared" si="19"/>
        <v>0</v>
      </c>
      <c r="W61" s="289">
        <f t="shared" si="9"/>
        <v>0</v>
      </c>
      <c r="X61" s="284">
        <f>+U$27*W61+V61</f>
        <v>0</v>
      </c>
      <c r="Y61" s="291">
        <f>+Y60</f>
        <v>0</v>
      </c>
      <c r="Z61" s="289">
        <f t="shared" si="20"/>
        <v>0</v>
      </c>
      <c r="AA61" s="289">
        <f t="shared" si="10"/>
        <v>0</v>
      </c>
      <c r="AB61" s="284">
        <f>+Y$27*AA61+Z61</f>
        <v>0</v>
      </c>
      <c r="AC61" s="291">
        <f>+AC60</f>
        <v>0</v>
      </c>
      <c r="AD61" s="289">
        <f t="shared" si="28"/>
        <v>0</v>
      </c>
      <c r="AE61" s="289">
        <f t="shared" si="12"/>
        <v>0</v>
      </c>
      <c r="AF61" s="284">
        <f>+AC$27*AE61+AD61</f>
        <v>0</v>
      </c>
      <c r="AG61" s="291">
        <f>+AG60</f>
        <v>0</v>
      </c>
      <c r="AH61" s="289">
        <f t="shared" si="23"/>
        <v>0</v>
      </c>
      <c r="AI61" s="289">
        <f t="shared" si="3"/>
        <v>0</v>
      </c>
      <c r="AJ61" s="284">
        <f>+AG$27*AI61+AH61</f>
        <v>0</v>
      </c>
      <c r="AK61" s="291">
        <f>+AK60</f>
        <v>0</v>
      </c>
      <c r="AL61" s="289">
        <f t="shared" si="24"/>
        <v>0</v>
      </c>
      <c r="AM61" s="289">
        <f t="shared" si="13"/>
        <v>0</v>
      </c>
      <c r="AN61" s="284">
        <f>+AK$27*AM61+AL61</f>
        <v>0</v>
      </c>
      <c r="AO61" s="291">
        <f>+AO60</f>
        <v>0</v>
      </c>
      <c r="AP61" s="289">
        <f t="shared" si="25"/>
        <v>0</v>
      </c>
      <c r="AQ61" s="289">
        <f t="shared" si="14"/>
        <v>0</v>
      </c>
      <c r="AR61" s="284">
        <f>+AO$27*AQ61+AP61</f>
        <v>0</v>
      </c>
      <c r="AS61" s="291">
        <f>+AS60</f>
        <v>0</v>
      </c>
      <c r="AT61" s="289">
        <f t="shared" si="26"/>
        <v>0</v>
      </c>
      <c r="AU61" s="289">
        <f t="shared" si="15"/>
        <v>0</v>
      </c>
      <c r="AV61" s="284">
        <f>+AS$27*AU61+AT61</f>
        <v>0</v>
      </c>
      <c r="AW61" s="302">
        <f t="shared" si="16"/>
        <v>0</v>
      </c>
      <c r="AX61" s="597">
        <f>+AW61</f>
        <v>0</v>
      </c>
      <c r="AY61" s="265"/>
    </row>
    <row r="62" spans="1:51" ht="12.75">
      <c r="A62" s="223">
        <f t="shared" si="27"/>
        <v>51</v>
      </c>
      <c r="C62" s="544" t="str">
        <f t="shared" si="4"/>
        <v>W  11.68 % ROE</v>
      </c>
      <c r="D62" s="288">
        <f t="shared" si="5"/>
        <v>2023</v>
      </c>
      <c r="E62" s="289"/>
      <c r="F62" s="289">
        <v>0</v>
      </c>
      <c r="G62" s="289">
        <f t="shared" si="7"/>
        <v>0</v>
      </c>
      <c r="H62" s="286">
        <f>+E$26*G62+F62</f>
        <v>0</v>
      </c>
      <c r="I62" s="291">
        <f>+K61</f>
        <v>0</v>
      </c>
      <c r="J62" s="289">
        <f t="shared" si="21"/>
        <v>0</v>
      </c>
      <c r="K62" s="289">
        <f t="shared" si="1"/>
        <v>0</v>
      </c>
      <c r="L62" s="284">
        <f>+I$26*K62+J62</f>
        <v>0</v>
      </c>
      <c r="M62" s="291"/>
      <c r="N62" s="289">
        <f t="shared" si="22"/>
        <v>0</v>
      </c>
      <c r="O62" s="289">
        <f t="shared" si="17"/>
        <v>0</v>
      </c>
      <c r="P62" s="284">
        <f>+M$26*O62+N62</f>
        <v>0</v>
      </c>
      <c r="Q62" s="291">
        <f>+S61</f>
        <v>0</v>
      </c>
      <c r="R62" s="289">
        <f t="shared" si="18"/>
        <v>0</v>
      </c>
      <c r="S62" s="289">
        <f t="shared" si="8"/>
        <v>0</v>
      </c>
      <c r="T62" s="284">
        <f>+Q$26*S62+R62</f>
        <v>0</v>
      </c>
      <c r="U62" s="291">
        <f>+W61</f>
        <v>0</v>
      </c>
      <c r="V62" s="289">
        <f t="shared" si="19"/>
        <v>0</v>
      </c>
      <c r="W62" s="289">
        <f t="shared" si="9"/>
        <v>0</v>
      </c>
      <c r="X62" s="284">
        <f>+U$26*W62+V62</f>
        <v>0</v>
      </c>
      <c r="Y62" s="291">
        <f>+AA61</f>
        <v>0</v>
      </c>
      <c r="Z62" s="289">
        <f t="shared" si="20"/>
        <v>0</v>
      </c>
      <c r="AA62" s="289">
        <f t="shared" si="10"/>
        <v>0</v>
      </c>
      <c r="AB62" s="284">
        <f>+Y$26*AA62+Z62</f>
        <v>0</v>
      </c>
      <c r="AC62" s="291">
        <f>+AE61</f>
        <v>0</v>
      </c>
      <c r="AD62" s="289">
        <f t="shared" si="28"/>
        <v>0</v>
      </c>
      <c r="AE62" s="289">
        <f t="shared" si="12"/>
        <v>0</v>
      </c>
      <c r="AF62" s="284">
        <f>+AC$26*AE62+AD62</f>
        <v>0</v>
      </c>
      <c r="AG62" s="291">
        <f>+AI61</f>
        <v>0</v>
      </c>
      <c r="AH62" s="289">
        <f t="shared" si="23"/>
        <v>0</v>
      </c>
      <c r="AI62" s="289">
        <f t="shared" si="3"/>
        <v>0</v>
      </c>
      <c r="AJ62" s="284">
        <f>+AG$26*AI62+AH62</f>
        <v>0</v>
      </c>
      <c r="AK62" s="291">
        <f>+AM61</f>
        <v>0</v>
      </c>
      <c r="AL62" s="289">
        <f t="shared" si="24"/>
        <v>0</v>
      </c>
      <c r="AM62" s="289">
        <f t="shared" si="13"/>
        <v>0</v>
      </c>
      <c r="AN62" s="284">
        <f>+AK$26*AM62+AL62</f>
        <v>0</v>
      </c>
      <c r="AO62" s="291">
        <f>+AQ61</f>
        <v>0</v>
      </c>
      <c r="AP62" s="289">
        <f t="shared" si="25"/>
        <v>0</v>
      </c>
      <c r="AQ62" s="289">
        <f t="shared" si="14"/>
        <v>0</v>
      </c>
      <c r="AR62" s="284">
        <f>+AO$26*AQ62+AP62</f>
        <v>0</v>
      </c>
      <c r="AS62" s="291">
        <f>+AU61</f>
        <v>0</v>
      </c>
      <c r="AT62" s="289">
        <f t="shared" si="26"/>
        <v>0</v>
      </c>
      <c r="AU62" s="289">
        <f t="shared" si="15"/>
        <v>0</v>
      </c>
      <c r="AV62" s="284">
        <f>+AS$26*AU62+AT62</f>
        <v>0</v>
      </c>
      <c r="AW62" s="302">
        <f t="shared" si="16"/>
        <v>0</v>
      </c>
      <c r="AX62" s="266"/>
      <c r="AY62" s="290">
        <f>+AW62</f>
        <v>0</v>
      </c>
    </row>
    <row r="63" spans="1:51" ht="12.75">
      <c r="A63" s="223">
        <f t="shared" si="27"/>
        <v>52</v>
      </c>
      <c r="C63" s="544" t="str">
        <f t="shared" si="4"/>
        <v>W Increased ROE</v>
      </c>
      <c r="D63" s="288">
        <f t="shared" si="5"/>
        <v>2023</v>
      </c>
      <c r="E63" s="289"/>
      <c r="F63" s="289">
        <v>0</v>
      </c>
      <c r="G63" s="289">
        <f t="shared" si="7"/>
        <v>0</v>
      </c>
      <c r="H63" s="286">
        <f>+E$27*G63+F63</f>
        <v>0</v>
      </c>
      <c r="I63" s="291">
        <f>+I62</f>
        <v>0</v>
      </c>
      <c r="J63" s="289">
        <f t="shared" si="21"/>
        <v>0</v>
      </c>
      <c r="K63" s="289">
        <f t="shared" si="1"/>
        <v>0</v>
      </c>
      <c r="L63" s="284">
        <f>+I$27*K63+J63</f>
        <v>0</v>
      </c>
      <c r="M63" s="291"/>
      <c r="N63" s="289">
        <f t="shared" si="22"/>
        <v>0</v>
      </c>
      <c r="O63" s="289">
        <f t="shared" si="17"/>
        <v>0</v>
      </c>
      <c r="P63" s="284">
        <f>+M$27*O63+N63</f>
        <v>0</v>
      </c>
      <c r="Q63" s="291">
        <f>+Q62</f>
        <v>0</v>
      </c>
      <c r="R63" s="289">
        <f t="shared" si="18"/>
        <v>0</v>
      </c>
      <c r="S63" s="289">
        <f t="shared" si="8"/>
        <v>0</v>
      </c>
      <c r="T63" s="284">
        <f>+Q$27*S63+R63</f>
        <v>0</v>
      </c>
      <c r="U63" s="291">
        <f>+U62</f>
        <v>0</v>
      </c>
      <c r="V63" s="289">
        <f t="shared" si="19"/>
        <v>0</v>
      </c>
      <c r="W63" s="289">
        <f t="shared" si="9"/>
        <v>0</v>
      </c>
      <c r="X63" s="284">
        <f>+U$27*W63+V63</f>
        <v>0</v>
      </c>
      <c r="Y63" s="291">
        <f>+Y62</f>
        <v>0</v>
      </c>
      <c r="Z63" s="289">
        <f t="shared" si="20"/>
        <v>0</v>
      </c>
      <c r="AA63" s="289">
        <f t="shared" si="10"/>
        <v>0</v>
      </c>
      <c r="AB63" s="284">
        <f>+Y$27*AA63+Z63</f>
        <v>0</v>
      </c>
      <c r="AC63" s="291">
        <f>+AC62</f>
        <v>0</v>
      </c>
      <c r="AD63" s="289">
        <f t="shared" si="28"/>
        <v>0</v>
      </c>
      <c r="AE63" s="289">
        <f t="shared" si="12"/>
        <v>0</v>
      </c>
      <c r="AF63" s="284">
        <f>+AC$27*AE63+AD63</f>
        <v>0</v>
      </c>
      <c r="AG63" s="291">
        <f>+AG62</f>
        <v>0</v>
      </c>
      <c r="AH63" s="289">
        <f t="shared" si="23"/>
        <v>0</v>
      </c>
      <c r="AI63" s="289">
        <f t="shared" si="3"/>
        <v>0</v>
      </c>
      <c r="AJ63" s="284">
        <f>+AG$27*AI63+AH63</f>
        <v>0</v>
      </c>
      <c r="AK63" s="291">
        <f>+AK62</f>
        <v>0</v>
      </c>
      <c r="AL63" s="289">
        <f t="shared" si="24"/>
        <v>0</v>
      </c>
      <c r="AM63" s="289">
        <f t="shared" si="13"/>
        <v>0</v>
      </c>
      <c r="AN63" s="284">
        <f>+AK$27*AM63+AL63</f>
        <v>0</v>
      </c>
      <c r="AO63" s="291">
        <f>+AO62</f>
        <v>0</v>
      </c>
      <c r="AP63" s="289">
        <f t="shared" si="25"/>
        <v>0</v>
      </c>
      <c r="AQ63" s="289">
        <f t="shared" si="14"/>
        <v>0</v>
      </c>
      <c r="AR63" s="284">
        <f>+AO$27*AQ63+AP63</f>
        <v>0</v>
      </c>
      <c r="AS63" s="291">
        <f>+AS62</f>
        <v>0</v>
      </c>
      <c r="AT63" s="289">
        <f t="shared" si="26"/>
        <v>0</v>
      </c>
      <c r="AU63" s="289">
        <f t="shared" si="15"/>
        <v>0</v>
      </c>
      <c r="AV63" s="284">
        <f>+AS$27*AU63+AT63</f>
        <v>0</v>
      </c>
      <c r="AW63" s="302">
        <f t="shared" si="16"/>
        <v>0</v>
      </c>
      <c r="AX63" s="597">
        <f>+AW63</f>
        <v>0</v>
      </c>
      <c r="AY63" s="265"/>
    </row>
    <row r="64" spans="1:51" ht="12.75">
      <c r="A64" s="223">
        <f t="shared" si="27"/>
        <v>53</v>
      </c>
      <c r="C64" s="544" t="str">
        <f t="shared" si="4"/>
        <v>W  11.68 % ROE</v>
      </c>
      <c r="D64" s="288">
        <f t="shared" si="5"/>
        <v>2024</v>
      </c>
      <c r="E64" s="289"/>
      <c r="F64" s="289">
        <v>0</v>
      </c>
      <c r="G64" s="289">
        <f t="shared" si="7"/>
        <v>0</v>
      </c>
      <c r="H64" s="286">
        <f>+E$26*G64+F64</f>
        <v>0</v>
      </c>
      <c r="I64" s="291">
        <f>+K63</f>
        <v>0</v>
      </c>
      <c r="J64" s="289">
        <f t="shared" si="21"/>
        <v>0</v>
      </c>
      <c r="K64" s="289">
        <f t="shared" si="1"/>
        <v>0</v>
      </c>
      <c r="L64" s="284">
        <f>+I$26*K64+J64</f>
        <v>0</v>
      </c>
      <c r="M64" s="291"/>
      <c r="N64" s="289">
        <f t="shared" si="22"/>
        <v>0</v>
      </c>
      <c r="O64" s="289">
        <f t="shared" si="17"/>
        <v>0</v>
      </c>
      <c r="P64" s="284">
        <f>+M$26*O64+N64</f>
        <v>0</v>
      </c>
      <c r="Q64" s="291">
        <f>+S63</f>
        <v>0</v>
      </c>
      <c r="R64" s="289">
        <f t="shared" si="18"/>
        <v>0</v>
      </c>
      <c r="S64" s="289">
        <f t="shared" si="8"/>
        <v>0</v>
      </c>
      <c r="T64" s="284">
        <f>+Q$26*S64+R64</f>
        <v>0</v>
      </c>
      <c r="U64" s="291">
        <f>+W63</f>
        <v>0</v>
      </c>
      <c r="V64" s="289">
        <f t="shared" si="19"/>
        <v>0</v>
      </c>
      <c r="W64" s="289">
        <f t="shared" si="9"/>
        <v>0</v>
      </c>
      <c r="X64" s="284">
        <f>+U$26*W64+V64</f>
        <v>0</v>
      </c>
      <c r="Y64" s="291">
        <f>+AA63</f>
        <v>0</v>
      </c>
      <c r="Z64" s="289">
        <f t="shared" si="20"/>
        <v>0</v>
      </c>
      <c r="AA64" s="289">
        <f t="shared" si="10"/>
        <v>0</v>
      </c>
      <c r="AB64" s="284">
        <f>+Y$26*AA64+Z64</f>
        <v>0</v>
      </c>
      <c r="AC64" s="291">
        <f>+AE63</f>
        <v>0</v>
      </c>
      <c r="AD64" s="289">
        <f t="shared" si="28"/>
        <v>0</v>
      </c>
      <c r="AE64" s="289">
        <f t="shared" si="12"/>
        <v>0</v>
      </c>
      <c r="AF64" s="284">
        <f>+AC$26*AE64+AD64</f>
        <v>0</v>
      </c>
      <c r="AG64" s="291">
        <f>+AI63</f>
        <v>0</v>
      </c>
      <c r="AH64" s="289">
        <f t="shared" si="23"/>
        <v>0</v>
      </c>
      <c r="AI64" s="289">
        <f t="shared" si="3"/>
        <v>0</v>
      </c>
      <c r="AJ64" s="284">
        <f>+AG$26*AI64+AH64</f>
        <v>0</v>
      </c>
      <c r="AK64" s="291">
        <f>+AM63</f>
        <v>0</v>
      </c>
      <c r="AL64" s="289">
        <f t="shared" si="24"/>
        <v>0</v>
      </c>
      <c r="AM64" s="289">
        <f t="shared" si="13"/>
        <v>0</v>
      </c>
      <c r="AN64" s="284">
        <f>+AK$26*AM64+AL64</f>
        <v>0</v>
      </c>
      <c r="AO64" s="291">
        <f>+AQ63</f>
        <v>0</v>
      </c>
      <c r="AP64" s="289">
        <f t="shared" si="25"/>
        <v>0</v>
      </c>
      <c r="AQ64" s="289">
        <f t="shared" si="14"/>
        <v>0</v>
      </c>
      <c r="AR64" s="284">
        <f>+AO$26*AQ64+AP64</f>
        <v>0</v>
      </c>
      <c r="AS64" s="291">
        <f>+AU63</f>
        <v>0</v>
      </c>
      <c r="AT64" s="289">
        <f t="shared" si="26"/>
        <v>0</v>
      </c>
      <c r="AU64" s="289">
        <f t="shared" si="15"/>
        <v>0</v>
      </c>
      <c r="AV64" s="284">
        <f>+AS$26*AU64+AT64</f>
        <v>0</v>
      </c>
      <c r="AW64" s="302">
        <f t="shared" si="16"/>
        <v>0</v>
      </c>
      <c r="AX64" s="266"/>
      <c r="AY64" s="290">
        <f>+AW64</f>
        <v>0</v>
      </c>
    </row>
    <row r="65" spans="1:51" ht="12.75">
      <c r="A65" s="223">
        <f t="shared" si="27"/>
        <v>54</v>
      </c>
      <c r="C65" s="544" t="str">
        <f t="shared" si="4"/>
        <v>W Increased ROE</v>
      </c>
      <c r="D65" s="288">
        <f t="shared" si="5"/>
        <v>2024</v>
      </c>
      <c r="E65" s="289"/>
      <c r="F65" s="289">
        <v>0</v>
      </c>
      <c r="G65" s="289">
        <f t="shared" si="7"/>
        <v>0</v>
      </c>
      <c r="H65" s="286">
        <f>+E$27*G65+F65</f>
        <v>0</v>
      </c>
      <c r="I65" s="291">
        <f>+I64</f>
        <v>0</v>
      </c>
      <c r="J65" s="289">
        <f t="shared" si="21"/>
        <v>0</v>
      </c>
      <c r="K65" s="289">
        <f t="shared" si="1"/>
        <v>0</v>
      </c>
      <c r="L65" s="284">
        <f>+I$27*K65+J65</f>
        <v>0</v>
      </c>
      <c r="M65" s="291"/>
      <c r="N65" s="289">
        <f t="shared" si="22"/>
        <v>0</v>
      </c>
      <c r="O65" s="289">
        <f t="shared" si="17"/>
        <v>0</v>
      </c>
      <c r="P65" s="284">
        <f>+M$27*O65+N65</f>
        <v>0</v>
      </c>
      <c r="Q65" s="291">
        <f>+Q64</f>
        <v>0</v>
      </c>
      <c r="R65" s="289">
        <f t="shared" si="18"/>
        <v>0</v>
      </c>
      <c r="S65" s="289">
        <f t="shared" si="8"/>
        <v>0</v>
      </c>
      <c r="T65" s="284">
        <f>+Q$27*S65+R65</f>
        <v>0</v>
      </c>
      <c r="U65" s="291">
        <f>+U64</f>
        <v>0</v>
      </c>
      <c r="V65" s="289">
        <f t="shared" si="19"/>
        <v>0</v>
      </c>
      <c r="W65" s="289">
        <f t="shared" si="9"/>
        <v>0</v>
      </c>
      <c r="X65" s="284">
        <f>+U$27*W65+V65</f>
        <v>0</v>
      </c>
      <c r="Y65" s="291">
        <f>+Y64</f>
        <v>0</v>
      </c>
      <c r="Z65" s="289">
        <f t="shared" si="20"/>
        <v>0</v>
      </c>
      <c r="AA65" s="289">
        <f t="shared" si="10"/>
        <v>0</v>
      </c>
      <c r="AB65" s="284">
        <f>+Y$27*AA65+Z65</f>
        <v>0</v>
      </c>
      <c r="AC65" s="291">
        <f>+AC64</f>
        <v>0</v>
      </c>
      <c r="AD65" s="289">
        <f t="shared" si="28"/>
        <v>0</v>
      </c>
      <c r="AE65" s="289">
        <f t="shared" si="12"/>
        <v>0</v>
      </c>
      <c r="AF65" s="284">
        <f>+AC$27*AE65+AD65</f>
        <v>0</v>
      </c>
      <c r="AG65" s="291">
        <f>+AG64</f>
        <v>0</v>
      </c>
      <c r="AH65" s="289">
        <f t="shared" si="23"/>
        <v>0</v>
      </c>
      <c r="AI65" s="289">
        <f t="shared" si="3"/>
        <v>0</v>
      </c>
      <c r="AJ65" s="284">
        <f>+AG$27*AI65+AH65</f>
        <v>0</v>
      </c>
      <c r="AK65" s="291">
        <f>+AK64</f>
        <v>0</v>
      </c>
      <c r="AL65" s="289">
        <f t="shared" si="24"/>
        <v>0</v>
      </c>
      <c r="AM65" s="289">
        <f t="shared" si="13"/>
        <v>0</v>
      </c>
      <c r="AN65" s="284">
        <f>+AK$27*AM65+AL65</f>
        <v>0</v>
      </c>
      <c r="AO65" s="291">
        <f>+AO64</f>
        <v>0</v>
      </c>
      <c r="AP65" s="289">
        <f t="shared" si="25"/>
        <v>0</v>
      </c>
      <c r="AQ65" s="289">
        <f t="shared" si="14"/>
        <v>0</v>
      </c>
      <c r="AR65" s="284">
        <f>+AO$27*AQ65+AP65</f>
        <v>0</v>
      </c>
      <c r="AS65" s="291">
        <f>+AS64</f>
        <v>0</v>
      </c>
      <c r="AT65" s="289">
        <f t="shared" si="26"/>
        <v>0</v>
      </c>
      <c r="AU65" s="289">
        <f t="shared" si="15"/>
        <v>0</v>
      </c>
      <c r="AV65" s="284">
        <f>+AS$27*AU65+AT65</f>
        <v>0</v>
      </c>
      <c r="AW65" s="302">
        <f t="shared" si="16"/>
        <v>0</v>
      </c>
      <c r="AX65" s="597">
        <f>+AW65</f>
        <v>0</v>
      </c>
      <c r="AY65" s="265"/>
    </row>
    <row r="66" spans="1:51" ht="12.75">
      <c r="A66" s="223">
        <f t="shared" si="27"/>
        <v>55</v>
      </c>
      <c r="C66" s="544" t="str">
        <f t="shared" si="4"/>
        <v>W  11.68 % ROE</v>
      </c>
      <c r="D66" s="288">
        <f t="shared" si="5"/>
        <v>2025</v>
      </c>
      <c r="E66" s="289"/>
      <c r="F66" s="289">
        <v>0</v>
      </c>
      <c r="G66" s="289">
        <f t="shared" si="7"/>
        <v>0</v>
      </c>
      <c r="H66" s="286">
        <f>+E$26*G66+F66</f>
        <v>0</v>
      </c>
      <c r="I66" s="291">
        <f>+K65</f>
        <v>0</v>
      </c>
      <c r="J66" s="289">
        <f t="shared" si="21"/>
        <v>0</v>
      </c>
      <c r="K66" s="289">
        <f t="shared" si="1"/>
        <v>0</v>
      </c>
      <c r="L66" s="284">
        <f>+I$26*K66+J66</f>
        <v>0</v>
      </c>
      <c r="M66" s="291"/>
      <c r="N66" s="289">
        <f t="shared" si="22"/>
        <v>0</v>
      </c>
      <c r="O66" s="289">
        <f t="shared" si="17"/>
        <v>0</v>
      </c>
      <c r="P66" s="284">
        <f>+M$26*O66+N66</f>
        <v>0</v>
      </c>
      <c r="Q66" s="291">
        <f>+S65</f>
        <v>0</v>
      </c>
      <c r="R66" s="289">
        <f t="shared" si="18"/>
        <v>0</v>
      </c>
      <c r="S66" s="289">
        <f t="shared" si="8"/>
        <v>0</v>
      </c>
      <c r="T66" s="284">
        <f>+Q$26*S66+R66</f>
        <v>0</v>
      </c>
      <c r="U66" s="291">
        <f>+W65</f>
        <v>0</v>
      </c>
      <c r="V66" s="289">
        <f t="shared" si="19"/>
        <v>0</v>
      </c>
      <c r="W66" s="289">
        <f t="shared" si="9"/>
        <v>0</v>
      </c>
      <c r="X66" s="284">
        <f>+U$26*W66+V66</f>
        <v>0</v>
      </c>
      <c r="Y66" s="291">
        <f>+AA65</f>
        <v>0</v>
      </c>
      <c r="Z66" s="289">
        <f t="shared" si="20"/>
        <v>0</v>
      </c>
      <c r="AA66" s="289">
        <f t="shared" si="10"/>
        <v>0</v>
      </c>
      <c r="AB66" s="284">
        <f>+Y$26*AA66+Z66</f>
        <v>0</v>
      </c>
      <c r="AC66" s="291">
        <f>+AE65</f>
        <v>0</v>
      </c>
      <c r="AD66" s="289">
        <f t="shared" si="28"/>
        <v>0</v>
      </c>
      <c r="AE66" s="289">
        <f t="shared" si="12"/>
        <v>0</v>
      </c>
      <c r="AF66" s="284">
        <f>+AC$26*AE66+AD66</f>
        <v>0</v>
      </c>
      <c r="AG66" s="291">
        <f>+AI65</f>
        <v>0</v>
      </c>
      <c r="AH66" s="289">
        <f t="shared" si="23"/>
        <v>0</v>
      </c>
      <c r="AI66" s="289">
        <f t="shared" si="3"/>
        <v>0</v>
      </c>
      <c r="AJ66" s="284">
        <f>+AG$26*AI66+AH66</f>
        <v>0</v>
      </c>
      <c r="AK66" s="291">
        <f>+AM65</f>
        <v>0</v>
      </c>
      <c r="AL66" s="289">
        <f t="shared" si="24"/>
        <v>0</v>
      </c>
      <c r="AM66" s="289">
        <f t="shared" si="13"/>
        <v>0</v>
      </c>
      <c r="AN66" s="284">
        <f>+AK$26*AM66+AL66</f>
        <v>0</v>
      </c>
      <c r="AO66" s="291">
        <f>+AQ65</f>
        <v>0</v>
      </c>
      <c r="AP66" s="289">
        <f t="shared" si="25"/>
        <v>0</v>
      </c>
      <c r="AQ66" s="289">
        <f t="shared" si="14"/>
        <v>0</v>
      </c>
      <c r="AR66" s="284">
        <f>+AO$26*AQ66+AP66</f>
        <v>0</v>
      </c>
      <c r="AS66" s="291">
        <f>+AU65</f>
        <v>0</v>
      </c>
      <c r="AT66" s="289">
        <f t="shared" si="26"/>
        <v>0</v>
      </c>
      <c r="AU66" s="289">
        <f t="shared" si="15"/>
        <v>0</v>
      </c>
      <c r="AV66" s="284">
        <f>+AS$26*AU66+AT66</f>
        <v>0</v>
      </c>
      <c r="AW66" s="302">
        <f t="shared" si="16"/>
        <v>0</v>
      </c>
      <c r="AX66" s="266"/>
      <c r="AY66" s="290">
        <f>+AW66</f>
        <v>0</v>
      </c>
    </row>
    <row r="67" spans="1:51" ht="12.75">
      <c r="A67" s="223">
        <f t="shared" si="27"/>
        <v>56</v>
      </c>
      <c r="C67" s="544" t="str">
        <f t="shared" si="4"/>
        <v>W Increased ROE</v>
      </c>
      <c r="D67" s="288">
        <f t="shared" si="5"/>
        <v>2025</v>
      </c>
      <c r="E67" s="289"/>
      <c r="F67" s="289">
        <v>0</v>
      </c>
      <c r="G67" s="289">
        <f t="shared" si="7"/>
        <v>0</v>
      </c>
      <c r="H67" s="286">
        <f>+E$27*G67+F67</f>
        <v>0</v>
      </c>
      <c r="I67" s="291">
        <f>+I66</f>
        <v>0</v>
      </c>
      <c r="J67" s="289">
        <f t="shared" si="21"/>
        <v>0</v>
      </c>
      <c r="K67" s="289">
        <f t="shared" si="1"/>
        <v>0</v>
      </c>
      <c r="L67" s="284">
        <f>+I$27*K67+J67</f>
        <v>0</v>
      </c>
      <c r="M67" s="291"/>
      <c r="N67" s="289">
        <f t="shared" si="22"/>
        <v>0</v>
      </c>
      <c r="O67" s="289">
        <f t="shared" si="17"/>
        <v>0</v>
      </c>
      <c r="P67" s="284">
        <f>+M$27*O67+N67</f>
        <v>0</v>
      </c>
      <c r="Q67" s="291">
        <f>+Q66</f>
        <v>0</v>
      </c>
      <c r="R67" s="289">
        <f t="shared" si="18"/>
        <v>0</v>
      </c>
      <c r="S67" s="289">
        <f t="shared" si="8"/>
        <v>0</v>
      </c>
      <c r="T67" s="284">
        <f>+Q$27*S67+R67</f>
        <v>0</v>
      </c>
      <c r="U67" s="291">
        <f>+U66</f>
        <v>0</v>
      </c>
      <c r="V67" s="289">
        <f t="shared" si="19"/>
        <v>0</v>
      </c>
      <c r="W67" s="289">
        <f t="shared" si="9"/>
        <v>0</v>
      </c>
      <c r="X67" s="284">
        <f>+U$27*W67+V67</f>
        <v>0</v>
      </c>
      <c r="Y67" s="291">
        <f>+Y66</f>
        <v>0</v>
      </c>
      <c r="Z67" s="289">
        <f t="shared" si="20"/>
        <v>0</v>
      </c>
      <c r="AA67" s="289">
        <f t="shared" si="10"/>
        <v>0</v>
      </c>
      <c r="AB67" s="284">
        <f>+Y$27*AA67+Z67</f>
        <v>0</v>
      </c>
      <c r="AC67" s="291">
        <f>+AC66</f>
        <v>0</v>
      </c>
      <c r="AD67" s="289">
        <f t="shared" si="28"/>
        <v>0</v>
      </c>
      <c r="AE67" s="289">
        <f t="shared" si="12"/>
        <v>0</v>
      </c>
      <c r="AF67" s="284">
        <f>+AC$27*AE67+AD67</f>
        <v>0</v>
      </c>
      <c r="AG67" s="291">
        <f>+AG66</f>
        <v>0</v>
      </c>
      <c r="AH67" s="289">
        <f t="shared" si="23"/>
        <v>0</v>
      </c>
      <c r="AI67" s="289">
        <f t="shared" si="3"/>
        <v>0</v>
      </c>
      <c r="AJ67" s="284">
        <f>+AG$27*AI67+AH67</f>
        <v>0</v>
      </c>
      <c r="AK67" s="291">
        <f>+AK66</f>
        <v>0</v>
      </c>
      <c r="AL67" s="289">
        <f t="shared" si="24"/>
        <v>0</v>
      </c>
      <c r="AM67" s="289">
        <f t="shared" si="13"/>
        <v>0</v>
      </c>
      <c r="AN67" s="284">
        <f>+AK$27*AM67+AL67</f>
        <v>0</v>
      </c>
      <c r="AO67" s="291">
        <f>+AO66</f>
        <v>0</v>
      </c>
      <c r="AP67" s="289">
        <f t="shared" si="25"/>
        <v>0</v>
      </c>
      <c r="AQ67" s="289">
        <f t="shared" si="14"/>
        <v>0</v>
      </c>
      <c r="AR67" s="284">
        <f>+AO$27*AQ67+AP67</f>
        <v>0</v>
      </c>
      <c r="AS67" s="291">
        <f>+AS66</f>
        <v>0</v>
      </c>
      <c r="AT67" s="289">
        <f t="shared" si="26"/>
        <v>0</v>
      </c>
      <c r="AU67" s="289">
        <f t="shared" si="15"/>
        <v>0</v>
      </c>
      <c r="AV67" s="284">
        <f>+AS$27*AU67+AT67</f>
        <v>0</v>
      </c>
      <c r="AW67" s="302">
        <f t="shared" si="16"/>
        <v>0</v>
      </c>
      <c r="AX67" s="597">
        <f>+AW67</f>
        <v>0</v>
      </c>
      <c r="AY67" s="265"/>
    </row>
    <row r="68" spans="1:51" ht="12.75">
      <c r="A68" s="223">
        <f t="shared" si="27"/>
        <v>57</v>
      </c>
      <c r="C68" s="544" t="str">
        <f t="shared" si="4"/>
        <v>W  11.68 % ROE</v>
      </c>
      <c r="D68" s="288">
        <f t="shared" si="5"/>
        <v>2026</v>
      </c>
      <c r="E68" s="289"/>
      <c r="F68" s="289">
        <v>0</v>
      </c>
      <c r="G68" s="289">
        <f t="shared" si="7"/>
        <v>0</v>
      </c>
      <c r="H68" s="286">
        <f>+E$26*G68+F68</f>
        <v>0</v>
      </c>
      <c r="I68" s="291">
        <f>+K67</f>
        <v>0</v>
      </c>
      <c r="J68" s="289">
        <f t="shared" si="21"/>
        <v>0</v>
      </c>
      <c r="K68" s="289">
        <f t="shared" si="1"/>
        <v>0</v>
      </c>
      <c r="L68" s="284">
        <f>+I$26*K68+J68</f>
        <v>0</v>
      </c>
      <c r="M68" s="291"/>
      <c r="N68" s="289">
        <f t="shared" si="22"/>
        <v>0</v>
      </c>
      <c r="O68" s="289">
        <f t="shared" si="17"/>
        <v>0</v>
      </c>
      <c r="P68" s="284">
        <f>+M$26*O68+N68</f>
        <v>0</v>
      </c>
      <c r="Q68" s="291">
        <f>+S67</f>
        <v>0</v>
      </c>
      <c r="R68" s="289">
        <f t="shared" si="18"/>
        <v>0</v>
      </c>
      <c r="S68" s="289">
        <f t="shared" si="8"/>
        <v>0</v>
      </c>
      <c r="T68" s="284">
        <f>+Q$26*S68+R68</f>
        <v>0</v>
      </c>
      <c r="U68" s="291">
        <f>+W67</f>
        <v>0</v>
      </c>
      <c r="V68" s="289">
        <f t="shared" si="19"/>
        <v>0</v>
      </c>
      <c r="W68" s="289">
        <f t="shared" si="9"/>
        <v>0</v>
      </c>
      <c r="X68" s="284">
        <f>+U$26*W68+V68</f>
        <v>0</v>
      </c>
      <c r="Y68" s="291">
        <f>+AA67</f>
        <v>0</v>
      </c>
      <c r="Z68" s="289">
        <f t="shared" si="20"/>
        <v>0</v>
      </c>
      <c r="AA68" s="289">
        <f t="shared" si="10"/>
        <v>0</v>
      </c>
      <c r="AB68" s="284">
        <f>+Y$26*AA68+Z68</f>
        <v>0</v>
      </c>
      <c r="AC68" s="291">
        <f>+AE67</f>
        <v>0</v>
      </c>
      <c r="AD68" s="289">
        <f t="shared" si="28"/>
        <v>0</v>
      </c>
      <c r="AE68" s="289">
        <f t="shared" si="12"/>
        <v>0</v>
      </c>
      <c r="AF68" s="284">
        <f>+AC$26*AE68+AD68</f>
        <v>0</v>
      </c>
      <c r="AG68" s="291">
        <f>+AI67</f>
        <v>0</v>
      </c>
      <c r="AH68" s="289">
        <f t="shared" si="23"/>
        <v>0</v>
      </c>
      <c r="AI68" s="289">
        <f t="shared" si="3"/>
        <v>0</v>
      </c>
      <c r="AJ68" s="284">
        <f>+AG$26*AI68+AH68</f>
        <v>0</v>
      </c>
      <c r="AK68" s="291">
        <f>+AM67</f>
        <v>0</v>
      </c>
      <c r="AL68" s="289">
        <f t="shared" si="24"/>
        <v>0</v>
      </c>
      <c r="AM68" s="289">
        <f t="shared" si="13"/>
        <v>0</v>
      </c>
      <c r="AN68" s="284">
        <f>+AK$26*AM68+AL68</f>
        <v>0</v>
      </c>
      <c r="AO68" s="291">
        <f>+AQ67</f>
        <v>0</v>
      </c>
      <c r="AP68" s="289">
        <f t="shared" si="25"/>
        <v>0</v>
      </c>
      <c r="AQ68" s="289">
        <f t="shared" si="14"/>
        <v>0</v>
      </c>
      <c r="AR68" s="284">
        <f>+AO$26*AQ68+AP68</f>
        <v>0</v>
      </c>
      <c r="AS68" s="291">
        <f>+AU67</f>
        <v>0</v>
      </c>
      <c r="AT68" s="289">
        <f t="shared" si="26"/>
        <v>0</v>
      </c>
      <c r="AU68" s="289">
        <f t="shared" si="15"/>
        <v>0</v>
      </c>
      <c r="AV68" s="284">
        <f>+AS$26*AU68+AT68</f>
        <v>0</v>
      </c>
      <c r="AW68" s="302">
        <f t="shared" si="16"/>
        <v>0</v>
      </c>
      <c r="AX68" s="266"/>
      <c r="AY68" s="290">
        <f>+AW68</f>
        <v>0</v>
      </c>
    </row>
    <row r="69" spans="1:51" ht="12.75">
      <c r="A69" s="223">
        <f t="shared" si="27"/>
        <v>58</v>
      </c>
      <c r="C69" s="544" t="str">
        <f t="shared" si="4"/>
        <v>W Increased ROE</v>
      </c>
      <c r="D69" s="288">
        <f t="shared" si="5"/>
        <v>2026</v>
      </c>
      <c r="E69" s="289"/>
      <c r="F69" s="289">
        <v>0</v>
      </c>
      <c r="G69" s="289">
        <f t="shared" si="7"/>
        <v>0</v>
      </c>
      <c r="H69" s="286">
        <f>+E$27*G69+F69</f>
        <v>0</v>
      </c>
      <c r="I69" s="291">
        <f>+I68</f>
        <v>0</v>
      </c>
      <c r="J69" s="289">
        <f t="shared" si="21"/>
        <v>0</v>
      </c>
      <c r="K69" s="289">
        <f t="shared" si="1"/>
        <v>0</v>
      </c>
      <c r="L69" s="284">
        <f>+I$27*K69+J69</f>
        <v>0</v>
      </c>
      <c r="M69" s="291"/>
      <c r="N69" s="289">
        <f t="shared" si="22"/>
        <v>0</v>
      </c>
      <c r="O69" s="289">
        <f t="shared" si="17"/>
        <v>0</v>
      </c>
      <c r="P69" s="284">
        <f>+M$27*O69+N69</f>
        <v>0</v>
      </c>
      <c r="Q69" s="291">
        <f>+Q68</f>
        <v>0</v>
      </c>
      <c r="R69" s="289">
        <f t="shared" si="18"/>
        <v>0</v>
      </c>
      <c r="S69" s="289">
        <f t="shared" si="8"/>
        <v>0</v>
      </c>
      <c r="T69" s="284">
        <f>+Q$27*S69+R69</f>
        <v>0</v>
      </c>
      <c r="U69" s="291">
        <f>+U68</f>
        <v>0</v>
      </c>
      <c r="V69" s="289">
        <f t="shared" si="19"/>
        <v>0</v>
      </c>
      <c r="W69" s="289">
        <f t="shared" si="9"/>
        <v>0</v>
      </c>
      <c r="X69" s="284">
        <f>+U$27*W69+V69</f>
        <v>0</v>
      </c>
      <c r="Y69" s="291">
        <f>+Y68</f>
        <v>0</v>
      </c>
      <c r="Z69" s="289">
        <f t="shared" si="20"/>
        <v>0</v>
      </c>
      <c r="AA69" s="289">
        <f t="shared" si="10"/>
        <v>0</v>
      </c>
      <c r="AB69" s="284">
        <f>+Y$27*AA69+Z69</f>
        <v>0</v>
      </c>
      <c r="AC69" s="291">
        <f>+AC68</f>
        <v>0</v>
      </c>
      <c r="AD69" s="289">
        <f t="shared" si="28"/>
        <v>0</v>
      </c>
      <c r="AE69" s="289">
        <f t="shared" si="12"/>
        <v>0</v>
      </c>
      <c r="AF69" s="284">
        <f>+AC$27*AE69+AD69</f>
        <v>0</v>
      </c>
      <c r="AG69" s="291">
        <f>+AG68</f>
        <v>0</v>
      </c>
      <c r="AH69" s="289">
        <f t="shared" si="23"/>
        <v>0</v>
      </c>
      <c r="AI69" s="289">
        <f t="shared" si="3"/>
        <v>0</v>
      </c>
      <c r="AJ69" s="284">
        <f>+AG$27*AI69+AH69</f>
        <v>0</v>
      </c>
      <c r="AK69" s="291">
        <f>+AK68</f>
        <v>0</v>
      </c>
      <c r="AL69" s="289">
        <f t="shared" si="24"/>
        <v>0</v>
      </c>
      <c r="AM69" s="289">
        <f t="shared" si="13"/>
        <v>0</v>
      </c>
      <c r="AN69" s="284">
        <f>+AK$27*AM69+AL69</f>
        <v>0</v>
      </c>
      <c r="AO69" s="291">
        <f>+AO68</f>
        <v>0</v>
      </c>
      <c r="AP69" s="289">
        <f t="shared" si="25"/>
        <v>0</v>
      </c>
      <c r="AQ69" s="289">
        <f t="shared" si="14"/>
        <v>0</v>
      </c>
      <c r="AR69" s="284">
        <f>+AO$27*AQ69+AP69</f>
        <v>0</v>
      </c>
      <c r="AS69" s="291">
        <f>+AS68</f>
        <v>0</v>
      </c>
      <c r="AT69" s="289">
        <f t="shared" si="26"/>
        <v>0</v>
      </c>
      <c r="AU69" s="289">
        <f t="shared" si="15"/>
        <v>0</v>
      </c>
      <c r="AV69" s="284">
        <f>+AS$27*AU69+AT69</f>
        <v>0</v>
      </c>
      <c r="AW69" s="302">
        <f t="shared" si="16"/>
        <v>0</v>
      </c>
      <c r="AX69" s="597">
        <f>+AW69</f>
        <v>0</v>
      </c>
      <c r="AY69" s="265"/>
    </row>
    <row r="70" spans="1:51" ht="12.75">
      <c r="A70" s="223">
        <f t="shared" si="27"/>
        <v>59</v>
      </c>
      <c r="C70" s="544" t="str">
        <f t="shared" si="4"/>
        <v>W  11.68 % ROE</v>
      </c>
      <c r="D70" s="288">
        <f t="shared" si="5"/>
        <v>2027</v>
      </c>
      <c r="E70" s="289"/>
      <c r="F70" s="289">
        <v>0</v>
      </c>
      <c r="G70" s="289">
        <f t="shared" si="7"/>
        <v>0</v>
      </c>
      <c r="H70" s="286">
        <f>+E$26*G70+F70</f>
        <v>0</v>
      </c>
      <c r="I70" s="291">
        <f>+K69</f>
        <v>0</v>
      </c>
      <c r="J70" s="289">
        <f t="shared" si="21"/>
        <v>0</v>
      </c>
      <c r="K70" s="289">
        <f t="shared" si="1"/>
        <v>0</v>
      </c>
      <c r="L70" s="284">
        <f>+I$26*K70+J70</f>
        <v>0</v>
      </c>
      <c r="M70" s="291"/>
      <c r="N70" s="289">
        <f t="shared" si="22"/>
        <v>0</v>
      </c>
      <c r="O70" s="289">
        <f t="shared" si="17"/>
        <v>0</v>
      </c>
      <c r="P70" s="284">
        <f>+M$26*O70+N70</f>
        <v>0</v>
      </c>
      <c r="Q70" s="291">
        <f>+S69</f>
        <v>0</v>
      </c>
      <c r="R70" s="289">
        <f t="shared" si="18"/>
        <v>0</v>
      </c>
      <c r="S70" s="289">
        <f t="shared" si="8"/>
        <v>0</v>
      </c>
      <c r="T70" s="284">
        <f>+Q$26*S70+R70</f>
        <v>0</v>
      </c>
      <c r="U70" s="291">
        <f>+W69</f>
        <v>0</v>
      </c>
      <c r="V70" s="289">
        <f t="shared" si="19"/>
        <v>0</v>
      </c>
      <c r="W70" s="289">
        <f t="shared" si="9"/>
        <v>0</v>
      </c>
      <c r="X70" s="284">
        <f>+U$26*W70+V70</f>
        <v>0</v>
      </c>
      <c r="Y70" s="291">
        <f>+AA69</f>
        <v>0</v>
      </c>
      <c r="Z70" s="289">
        <f t="shared" si="20"/>
        <v>0</v>
      </c>
      <c r="AA70" s="289">
        <f t="shared" si="10"/>
        <v>0</v>
      </c>
      <c r="AB70" s="284">
        <f>+Y$26*AA70+Z70</f>
        <v>0</v>
      </c>
      <c r="AC70" s="291">
        <f>+AE69</f>
        <v>0</v>
      </c>
      <c r="AD70" s="289">
        <f t="shared" si="28"/>
        <v>0</v>
      </c>
      <c r="AE70" s="289">
        <f t="shared" si="12"/>
        <v>0</v>
      </c>
      <c r="AF70" s="284">
        <f>+AC$26*AE70+AD70</f>
        <v>0</v>
      </c>
      <c r="AG70" s="291">
        <f>+AI69</f>
        <v>0</v>
      </c>
      <c r="AH70" s="289">
        <f t="shared" si="23"/>
        <v>0</v>
      </c>
      <c r="AI70" s="289">
        <f t="shared" si="3"/>
        <v>0</v>
      </c>
      <c r="AJ70" s="284">
        <f>+AG$26*AI70+AH70</f>
        <v>0</v>
      </c>
      <c r="AK70" s="291">
        <f>+AM69</f>
        <v>0</v>
      </c>
      <c r="AL70" s="289">
        <f t="shared" si="24"/>
        <v>0</v>
      </c>
      <c r="AM70" s="289">
        <f t="shared" si="13"/>
        <v>0</v>
      </c>
      <c r="AN70" s="284">
        <f>+AK$26*AM70+AL70</f>
        <v>0</v>
      </c>
      <c r="AO70" s="291">
        <f>+AQ69</f>
        <v>0</v>
      </c>
      <c r="AP70" s="289">
        <f t="shared" si="25"/>
        <v>0</v>
      </c>
      <c r="AQ70" s="289">
        <f t="shared" si="14"/>
        <v>0</v>
      </c>
      <c r="AR70" s="284">
        <f>+AO$26*AQ70+AP70</f>
        <v>0</v>
      </c>
      <c r="AS70" s="291">
        <f>+AU69</f>
        <v>0</v>
      </c>
      <c r="AT70" s="289">
        <f t="shared" si="26"/>
        <v>0</v>
      </c>
      <c r="AU70" s="289">
        <f t="shared" si="15"/>
        <v>0</v>
      </c>
      <c r="AV70" s="284">
        <f>+AS$26*AU70+AT70</f>
        <v>0</v>
      </c>
      <c r="AW70" s="302">
        <f t="shared" si="16"/>
        <v>0</v>
      </c>
      <c r="AX70" s="266"/>
      <c r="AY70" s="290">
        <f>+AW70</f>
        <v>0</v>
      </c>
    </row>
    <row r="71" spans="1:51" ht="12.75">
      <c r="A71" s="223">
        <f t="shared" si="27"/>
        <v>60</v>
      </c>
      <c r="C71" s="544" t="str">
        <f t="shared" si="4"/>
        <v>W Increased ROE</v>
      </c>
      <c r="D71" s="288">
        <f t="shared" si="5"/>
        <v>2027</v>
      </c>
      <c r="E71" s="289"/>
      <c r="F71" s="289">
        <v>0</v>
      </c>
      <c r="G71" s="289">
        <f t="shared" si="7"/>
        <v>0</v>
      </c>
      <c r="H71" s="286">
        <f>+E$27*G71+F71</f>
        <v>0</v>
      </c>
      <c r="I71" s="291">
        <f>+I70</f>
        <v>0</v>
      </c>
      <c r="J71" s="289">
        <f t="shared" si="21"/>
        <v>0</v>
      </c>
      <c r="K71" s="289">
        <f t="shared" si="1"/>
        <v>0</v>
      </c>
      <c r="L71" s="284">
        <f>+I$27*K71+J71</f>
        <v>0</v>
      </c>
      <c r="M71" s="291"/>
      <c r="N71" s="289">
        <f t="shared" si="22"/>
        <v>0</v>
      </c>
      <c r="O71" s="289">
        <f t="shared" si="17"/>
        <v>0</v>
      </c>
      <c r="P71" s="284">
        <f>+M$27*O71+N71</f>
        <v>0</v>
      </c>
      <c r="Q71" s="291">
        <f>+Q70</f>
        <v>0</v>
      </c>
      <c r="R71" s="289">
        <f t="shared" si="18"/>
        <v>0</v>
      </c>
      <c r="S71" s="289">
        <f t="shared" si="8"/>
        <v>0</v>
      </c>
      <c r="T71" s="284">
        <f>+Q$27*S71+R71</f>
        <v>0</v>
      </c>
      <c r="U71" s="291">
        <f>+U70</f>
        <v>0</v>
      </c>
      <c r="V71" s="289">
        <f t="shared" si="19"/>
        <v>0</v>
      </c>
      <c r="W71" s="289">
        <f t="shared" si="9"/>
        <v>0</v>
      </c>
      <c r="X71" s="284">
        <f>+U$27*W71+V71</f>
        <v>0</v>
      </c>
      <c r="Y71" s="291">
        <f>+Y70</f>
        <v>0</v>
      </c>
      <c r="Z71" s="289">
        <f t="shared" si="20"/>
        <v>0</v>
      </c>
      <c r="AA71" s="289">
        <f t="shared" si="10"/>
        <v>0</v>
      </c>
      <c r="AB71" s="284">
        <f>+Y$27*AA71+Z71</f>
        <v>0</v>
      </c>
      <c r="AC71" s="291">
        <f>+AC70</f>
        <v>0</v>
      </c>
      <c r="AD71" s="289">
        <f t="shared" si="28"/>
        <v>0</v>
      </c>
      <c r="AE71" s="289">
        <f t="shared" si="12"/>
        <v>0</v>
      </c>
      <c r="AF71" s="284">
        <f>+AC$27*AE71+AD71</f>
        <v>0</v>
      </c>
      <c r="AG71" s="291">
        <f>+AG70</f>
        <v>0</v>
      </c>
      <c r="AH71" s="289">
        <f t="shared" si="23"/>
        <v>0</v>
      </c>
      <c r="AI71" s="289">
        <f t="shared" si="3"/>
        <v>0</v>
      </c>
      <c r="AJ71" s="284">
        <f>+AG$27*AI71+AH71</f>
        <v>0</v>
      </c>
      <c r="AK71" s="291">
        <f>+AK70</f>
        <v>0</v>
      </c>
      <c r="AL71" s="289">
        <f t="shared" si="24"/>
        <v>0</v>
      </c>
      <c r="AM71" s="289">
        <f t="shared" si="13"/>
        <v>0</v>
      </c>
      <c r="AN71" s="284">
        <f>+AK$27*AM71+AL71</f>
        <v>0</v>
      </c>
      <c r="AO71" s="291">
        <f>+AO70</f>
        <v>0</v>
      </c>
      <c r="AP71" s="289">
        <f t="shared" si="25"/>
        <v>0</v>
      </c>
      <c r="AQ71" s="289">
        <f t="shared" si="14"/>
        <v>0</v>
      </c>
      <c r="AR71" s="284">
        <f>+AO$27*AQ71+AP71</f>
        <v>0</v>
      </c>
      <c r="AS71" s="291">
        <f>+AS70</f>
        <v>0</v>
      </c>
      <c r="AT71" s="289">
        <f t="shared" si="26"/>
        <v>0</v>
      </c>
      <c r="AU71" s="289">
        <f t="shared" si="15"/>
        <v>0</v>
      </c>
      <c r="AV71" s="284">
        <f>+AS$27*AU71+AT71</f>
        <v>0</v>
      </c>
      <c r="AW71" s="302">
        <f t="shared" si="16"/>
        <v>0</v>
      </c>
      <c r="AX71" s="597">
        <f>+AW71</f>
        <v>0</v>
      </c>
      <c r="AY71" s="265"/>
    </row>
    <row r="72" spans="1:51" ht="12.75">
      <c r="A72" s="223">
        <f t="shared" si="27"/>
        <v>61</v>
      </c>
      <c r="C72" s="544"/>
      <c r="D72" s="292" t="s">
        <v>53</v>
      </c>
      <c r="E72" s="470"/>
      <c r="F72" s="293"/>
      <c r="G72" s="293"/>
      <c r="H72" s="293"/>
      <c r="I72" s="470" t="s">
        <v>53</v>
      </c>
      <c r="J72" s="289">
        <f t="shared" si="21"/>
        <v>0</v>
      </c>
      <c r="K72" s="293" t="s">
        <v>54</v>
      </c>
      <c r="L72" s="294" t="s">
        <v>53</v>
      </c>
      <c r="M72" s="470" t="s">
        <v>53</v>
      </c>
      <c r="N72" s="289">
        <f t="shared" si="22"/>
        <v>0</v>
      </c>
      <c r="O72" s="293" t="s">
        <v>54</v>
      </c>
      <c r="P72" s="294" t="s">
        <v>53</v>
      </c>
      <c r="Q72" s="293" t="s">
        <v>53</v>
      </c>
      <c r="R72" s="293" t="s">
        <v>53</v>
      </c>
      <c r="S72" s="293" t="s">
        <v>54</v>
      </c>
      <c r="T72" s="294" t="s">
        <v>53</v>
      </c>
      <c r="U72" s="293" t="s">
        <v>53</v>
      </c>
      <c r="V72" s="293" t="s">
        <v>53</v>
      </c>
      <c r="W72" s="293" t="s">
        <v>54</v>
      </c>
      <c r="X72" s="294" t="s">
        <v>53</v>
      </c>
      <c r="Y72" s="293" t="s">
        <v>53</v>
      </c>
      <c r="Z72" s="293" t="s">
        <v>53</v>
      </c>
      <c r="AA72" s="293" t="s">
        <v>54</v>
      </c>
      <c r="AB72" s="294" t="s">
        <v>53</v>
      </c>
      <c r="AC72" s="470" t="s">
        <v>53</v>
      </c>
      <c r="AD72" s="293" t="s">
        <v>53</v>
      </c>
      <c r="AE72" s="293" t="s">
        <v>54</v>
      </c>
      <c r="AF72" s="294" t="s">
        <v>53</v>
      </c>
      <c r="AG72" s="293" t="s">
        <v>53</v>
      </c>
      <c r="AH72" s="293" t="s">
        <v>53</v>
      </c>
      <c r="AI72" s="293" t="s">
        <v>54</v>
      </c>
      <c r="AJ72" s="294" t="s">
        <v>53</v>
      </c>
      <c r="AK72" s="293" t="s">
        <v>53</v>
      </c>
      <c r="AL72" s="293" t="s">
        <v>53</v>
      </c>
      <c r="AM72" s="293" t="s">
        <v>54</v>
      </c>
      <c r="AN72" s="294" t="s">
        <v>53</v>
      </c>
      <c r="AO72" s="293" t="s">
        <v>53</v>
      </c>
      <c r="AP72" s="293" t="s">
        <v>53</v>
      </c>
      <c r="AQ72" s="293" t="s">
        <v>54</v>
      </c>
      <c r="AR72" s="294" t="s">
        <v>53</v>
      </c>
      <c r="AS72" s="470" t="s">
        <v>53</v>
      </c>
      <c r="AT72" s="293" t="s">
        <v>53</v>
      </c>
      <c r="AU72" s="293" t="s">
        <v>54</v>
      </c>
      <c r="AV72" s="294" t="s">
        <v>53</v>
      </c>
      <c r="AW72" s="302"/>
      <c r="AX72" s="266"/>
      <c r="AY72" s="290">
        <f>+AW72</f>
        <v>0</v>
      </c>
    </row>
    <row r="73" spans="1:51" ht="13.5" thickBot="1">
      <c r="A73" s="223">
        <f t="shared" si="27"/>
        <v>62</v>
      </c>
      <c r="C73" s="546"/>
      <c r="D73" s="295" t="s">
        <v>53</v>
      </c>
      <c r="E73" s="471"/>
      <c r="F73" s="296"/>
      <c r="G73" s="296"/>
      <c r="H73" s="296"/>
      <c r="I73" s="471" t="s">
        <v>53</v>
      </c>
      <c r="J73" s="296" t="s">
        <v>54</v>
      </c>
      <c r="K73" s="296" t="s">
        <v>54</v>
      </c>
      <c r="L73" s="297" t="s">
        <v>53</v>
      </c>
      <c r="M73" s="471" t="s">
        <v>53</v>
      </c>
      <c r="N73" s="296" t="s">
        <v>54</v>
      </c>
      <c r="O73" s="296" t="s">
        <v>54</v>
      </c>
      <c r="P73" s="297" t="s">
        <v>53</v>
      </c>
      <c r="Q73" s="296" t="s">
        <v>53</v>
      </c>
      <c r="R73" s="296" t="s">
        <v>54</v>
      </c>
      <c r="S73" s="296" t="s">
        <v>54</v>
      </c>
      <c r="T73" s="297" t="s">
        <v>53</v>
      </c>
      <c r="U73" s="296" t="s">
        <v>53</v>
      </c>
      <c r="V73" s="296" t="s">
        <v>54</v>
      </c>
      <c r="W73" s="296" t="s">
        <v>54</v>
      </c>
      <c r="X73" s="297" t="s">
        <v>53</v>
      </c>
      <c r="Y73" s="296" t="s">
        <v>53</v>
      </c>
      <c r="Z73" s="296" t="s">
        <v>54</v>
      </c>
      <c r="AA73" s="296" t="s">
        <v>54</v>
      </c>
      <c r="AB73" s="297" t="s">
        <v>53</v>
      </c>
      <c r="AC73" s="471" t="s">
        <v>53</v>
      </c>
      <c r="AD73" s="296" t="s">
        <v>54</v>
      </c>
      <c r="AE73" s="296" t="s">
        <v>54</v>
      </c>
      <c r="AF73" s="297" t="s">
        <v>53</v>
      </c>
      <c r="AG73" s="296" t="s">
        <v>53</v>
      </c>
      <c r="AH73" s="296" t="s">
        <v>54</v>
      </c>
      <c r="AI73" s="296" t="s">
        <v>54</v>
      </c>
      <c r="AJ73" s="297" t="s">
        <v>53</v>
      </c>
      <c r="AK73" s="296" t="s">
        <v>53</v>
      </c>
      <c r="AL73" s="296" t="s">
        <v>54</v>
      </c>
      <c r="AM73" s="296" t="s">
        <v>54</v>
      </c>
      <c r="AN73" s="297" t="s">
        <v>53</v>
      </c>
      <c r="AO73" s="296" t="s">
        <v>53</v>
      </c>
      <c r="AP73" s="296" t="s">
        <v>54</v>
      </c>
      <c r="AQ73" s="296" t="s">
        <v>54</v>
      </c>
      <c r="AR73" s="297" t="s">
        <v>53</v>
      </c>
      <c r="AS73" s="471" t="s">
        <v>53</v>
      </c>
      <c r="AT73" s="296" t="s">
        <v>54</v>
      </c>
      <c r="AU73" s="296" t="s">
        <v>54</v>
      </c>
      <c r="AV73" s="297" t="s">
        <v>53</v>
      </c>
      <c r="AW73" s="303"/>
      <c r="AX73" s="598">
        <f>+AW73</f>
        <v>0</v>
      </c>
      <c r="AY73" s="267"/>
    </row>
    <row r="74" spans="3:51" ht="12.75">
      <c r="C74" s="232"/>
      <c r="D74" s="298"/>
      <c r="E74" s="298"/>
      <c r="F74" s="232"/>
      <c r="G74" s="232"/>
      <c r="H74" s="232"/>
      <c r="I74" s="232"/>
      <c r="J74" s="232"/>
      <c r="K74" s="232"/>
      <c r="L74" s="299"/>
      <c r="M74" s="299"/>
      <c r="N74" s="299"/>
      <c r="O74" s="299"/>
      <c r="P74" s="299"/>
      <c r="Q74" s="232"/>
      <c r="R74" s="232"/>
      <c r="S74" s="232"/>
      <c r="T74" s="232"/>
      <c r="U74" s="232"/>
      <c r="V74" s="232"/>
      <c r="W74" s="232"/>
      <c r="X74" s="232"/>
      <c r="Y74" s="232"/>
      <c r="Z74" s="232"/>
      <c r="AA74" s="232"/>
      <c r="AB74" s="232"/>
      <c r="AC74" s="232"/>
      <c r="AD74" s="232"/>
      <c r="AE74" s="232"/>
      <c r="AF74" s="232"/>
      <c r="AG74" s="232"/>
      <c r="AH74" s="232"/>
      <c r="AI74" s="232"/>
      <c r="AJ74" s="232"/>
      <c r="AK74" s="232"/>
      <c r="AL74" s="232"/>
      <c r="AM74" s="232"/>
      <c r="AN74" s="232"/>
      <c r="AO74" s="232"/>
      <c r="AP74" s="232"/>
      <c r="AQ74" s="232"/>
      <c r="AR74" s="232"/>
      <c r="AS74" s="232"/>
      <c r="AT74" s="232"/>
      <c r="AU74" s="232"/>
      <c r="AV74" s="232"/>
      <c r="AW74" s="232"/>
      <c r="AX74" s="300"/>
      <c r="AY74" s="300"/>
    </row>
    <row r="75" ht="12.75">
      <c r="B75" s="331" t="s">
        <v>241</v>
      </c>
    </row>
    <row r="76" spans="2:50" ht="12.75">
      <c r="B76" s="609" t="s">
        <v>68</v>
      </c>
      <c r="R76" s="253" t="s">
        <v>242</v>
      </c>
      <c r="AX76" s="251"/>
    </row>
    <row r="77" spans="2:18" ht="12.75">
      <c r="B77" s="331" t="s">
        <v>69</v>
      </c>
      <c r="R77" s="331" t="s">
        <v>243</v>
      </c>
    </row>
    <row r="78" spans="2:18" ht="12.75">
      <c r="B78" s="331" t="s">
        <v>70</v>
      </c>
      <c r="R78" s="331" t="s">
        <v>244</v>
      </c>
    </row>
    <row r="79" spans="2:18" ht="12.75">
      <c r="B79" s="331" t="s">
        <v>245</v>
      </c>
      <c r="R79" s="331" t="s">
        <v>246</v>
      </c>
    </row>
    <row r="80" spans="2:18" ht="12.75">
      <c r="B80" s="331" t="s">
        <v>71</v>
      </c>
      <c r="R80" s="331" t="s">
        <v>66</v>
      </c>
    </row>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spans="3:8" ht="12.75">
      <c r="C306" s="310"/>
      <c r="D306" s="309"/>
      <c r="E306" s="309"/>
      <c r="F306" s="310"/>
      <c r="G306" s="310"/>
      <c r="H306" s="310"/>
    </row>
    <row r="307" spans="3:8" ht="12.75">
      <c r="C307" s="310"/>
      <c r="D307" s="309"/>
      <c r="E307" s="309"/>
      <c r="F307" s="310"/>
      <c r="G307" s="310"/>
      <c r="H307" s="310"/>
    </row>
    <row r="308" spans="3:8" ht="12.75">
      <c r="C308" s="310"/>
      <c r="D308" s="309"/>
      <c r="E308" s="309"/>
      <c r="F308" s="310"/>
      <c r="G308" s="310"/>
      <c r="H308" s="310"/>
    </row>
    <row r="309" spans="3:8" ht="12.75">
      <c r="C309" s="310"/>
      <c r="D309" s="309"/>
      <c r="E309" s="309"/>
      <c r="F309" s="310"/>
      <c r="G309" s="310"/>
      <c r="H309" s="310"/>
    </row>
    <row r="310" spans="3:8" ht="12.75">
      <c r="C310" s="310"/>
      <c r="D310" s="309"/>
      <c r="E310" s="309"/>
      <c r="F310" s="310"/>
      <c r="G310" s="310"/>
      <c r="H310" s="310"/>
    </row>
    <row r="311" spans="3:8" ht="12.75">
      <c r="C311" s="310"/>
      <c r="D311" s="309"/>
      <c r="E311" s="309"/>
      <c r="F311" s="310"/>
      <c r="G311" s="310"/>
      <c r="H311" s="310"/>
    </row>
    <row r="312" spans="3:8" ht="12.75">
      <c r="C312" s="310"/>
      <c r="D312" s="309"/>
      <c r="E312" s="309"/>
      <c r="F312" s="310"/>
      <c r="G312" s="310"/>
      <c r="H312" s="310"/>
    </row>
    <row r="313" spans="3:8" ht="12.75">
      <c r="C313" s="310"/>
      <c r="D313" s="309"/>
      <c r="E313" s="309"/>
      <c r="F313" s="310"/>
      <c r="G313" s="310"/>
      <c r="H313" s="310"/>
    </row>
    <row r="314" spans="3:8" ht="12.75">
      <c r="C314" s="310"/>
      <c r="D314" s="309"/>
      <c r="E314" s="309"/>
      <c r="F314" s="310"/>
      <c r="G314" s="310"/>
      <c r="H314" s="310"/>
    </row>
  </sheetData>
  <sheetProtection/>
  <mergeCells count="12">
    <mergeCell ref="AC21:AF21"/>
    <mergeCell ref="AG21:AJ21"/>
    <mergeCell ref="AS21:AV21"/>
    <mergeCell ref="AO21:AR21"/>
    <mergeCell ref="M21:P21"/>
    <mergeCell ref="AK21:AN21"/>
    <mergeCell ref="C2:AY2"/>
    <mergeCell ref="I21:L21"/>
    <mergeCell ref="Q21:T21"/>
    <mergeCell ref="E21:H21"/>
    <mergeCell ref="U21:X21"/>
    <mergeCell ref="Y21:AB21"/>
  </mergeCells>
  <printOptions horizontalCentered="1"/>
  <pageMargins left="0.25" right="0.25" top="0.75" bottom="0.25" header="0.4" footer="0.5"/>
  <pageSetup fitToHeight="1" fitToWidth="1" horizontalDpi="600" verticalDpi="600" orientation="landscape" scale="17" r:id="rId1"/>
  <headerFooter alignWithMargins="0">
    <oddHeader>&amp;R&amp;14Exhibit 1
Page &amp;P of &amp;N</oddHeader>
  </headerFooter>
  <ignoredErrors>
    <ignoredError sqref="H48:H70 I34:L34 I49:L49 O47 M34:P36 R47:T47 U47:X47 Y47:AB47 AC47:AF47 AH34 AS47 AV46:AV69 AO71:AV71 AQ46:AR46 AO70:AR70 AO47:AR47 AT47:AU47 AT70:AV70 AU46 AL34 M49 P48 S46:T46 R49:T49 S48:T48 W46:X46 U51:X70 W48:X48 AA46:AB46 Y49:AB49 AA48:AB48 AD46:AF46 AC49:AF49 AD48:AF48 AG49:AJ49 AI48:AJ48 AM46 AK49:AN49 AM48:AN48 AO49:AR49 AQ48:AR48 AS49 AT49:AU49 AU48 AM47 N51:P70 P49 O50:P50 Q51:T70 S50:T50 W49:X49 W50:X50 Y51:AB70 AA50:AB50 AC51:AF70 AD50:AF50 AK51:AN70 AM50:AN50 AO51:AR69 AQ50:AR50 AS51:AS70 AT51:AU69 AU50 I51:L71 K50:L50 AG51:AJ70 AI50:AJ50" formula="1"/>
  </ignoredErrors>
</worksheet>
</file>

<file path=xl/worksheets/sheet9.xml><?xml version="1.0" encoding="utf-8"?>
<worksheet xmlns="http://schemas.openxmlformats.org/spreadsheetml/2006/main" xmlns:r="http://schemas.openxmlformats.org/officeDocument/2006/relationships">
  <sheetPr codeName="Sheet9">
    <tabColor rgb="FF92D050"/>
    <pageSetUpPr fitToPage="1"/>
  </sheetPr>
  <dimension ref="A1:H53"/>
  <sheetViews>
    <sheetView showGridLines="0" workbookViewId="0" topLeftCell="A1">
      <selection activeCell="A1" sqref="A1:F1"/>
    </sheetView>
  </sheetViews>
  <sheetFormatPr defaultColWidth="9.140625" defaultRowHeight="12.75"/>
  <cols>
    <col min="1" max="1" width="9.140625" style="0" customWidth="1"/>
    <col min="2" max="2" width="1.421875" style="0" customWidth="1"/>
    <col min="3" max="3" width="2.28125" style="0" customWidth="1"/>
    <col min="4" max="4" width="62.8515625" style="0" customWidth="1"/>
    <col min="5" max="5" width="19.7109375" style="0" customWidth="1"/>
    <col min="6" max="6" width="19.421875" style="0" customWidth="1"/>
    <col min="7" max="7" width="20.57421875" style="0" bestFit="1" customWidth="1"/>
    <col min="8" max="8" width="9.140625" style="0" customWidth="1"/>
  </cols>
  <sheetData>
    <row r="1" spans="1:6" ht="15.75">
      <c r="A1" s="1113" t="str">
        <f>+'Appendix A'!A3</f>
        <v>PPL Electric Utilities Corporation</v>
      </c>
      <c r="B1" s="1113"/>
      <c r="C1" s="1113"/>
      <c r="D1" s="1113"/>
      <c r="E1" s="1113"/>
      <c r="F1" s="1113"/>
    </row>
    <row r="2" spans="1:6" ht="15.75">
      <c r="A2" s="610"/>
      <c r="B2" s="325"/>
      <c r="C2" s="325"/>
      <c r="D2" s="611"/>
      <c r="E2" s="325"/>
      <c r="F2" s="35"/>
    </row>
    <row r="3" spans="1:6" ht="15.75">
      <c r="A3" s="1113" t="s">
        <v>389</v>
      </c>
      <c r="B3" s="1114"/>
      <c r="C3" s="1114"/>
      <c r="D3" s="1114"/>
      <c r="E3" s="1114"/>
      <c r="F3" s="1114"/>
    </row>
    <row r="4" spans="2:4" ht="12.75">
      <c r="B4" s="139"/>
      <c r="C4" s="223"/>
      <c r="D4" s="223"/>
    </row>
    <row r="5" ht="12.75">
      <c r="A5" s="139"/>
    </row>
    <row r="6" ht="12.75">
      <c r="E6" s="237"/>
    </row>
    <row r="7" ht="12.75"/>
    <row r="8" spans="2:8" ht="12.75">
      <c r="B8" s="2"/>
      <c r="C8" s="2"/>
      <c r="D8" s="2"/>
      <c r="E8" s="2"/>
      <c r="F8" s="2"/>
      <c r="G8" s="2"/>
      <c r="H8" s="2"/>
    </row>
    <row r="9" spans="2:8" ht="12.75">
      <c r="B9" s="238"/>
      <c r="C9" s="238"/>
      <c r="D9" s="238"/>
      <c r="E9" s="238"/>
      <c r="F9" s="238"/>
      <c r="G9" s="238"/>
      <c r="H9" s="2"/>
    </row>
    <row r="10" spans="2:8" ht="12.75">
      <c r="B10" s="2"/>
      <c r="C10" s="2"/>
      <c r="D10" s="2"/>
      <c r="E10" s="2"/>
      <c r="F10" s="2"/>
      <c r="G10" s="2"/>
      <c r="H10" s="2"/>
    </row>
    <row r="11" ht="12.75"/>
    <row r="12" ht="12.75">
      <c r="A12" s="223" t="s">
        <v>27</v>
      </c>
    </row>
    <row r="13" spans="1:2" ht="12.75">
      <c r="A13" s="223"/>
      <c r="B13" t="s">
        <v>386</v>
      </c>
    </row>
    <row r="14" spans="1:6" ht="12.75">
      <c r="A14" s="878">
        <f>'5 - Cost Support'!A82</f>
        <v>36</v>
      </c>
      <c r="C14" s="235" t="s">
        <v>684</v>
      </c>
      <c r="D14" s="235"/>
      <c r="E14" s="780">
        <v>0</v>
      </c>
      <c r="F14" s="334" t="s">
        <v>548</v>
      </c>
    </row>
    <row r="15" spans="1:5" ht="12.75">
      <c r="A15" s="878"/>
      <c r="C15" s="235"/>
      <c r="D15" s="235"/>
      <c r="E15" s="879"/>
    </row>
    <row r="16" spans="1:5" ht="12.75">
      <c r="A16" s="878"/>
      <c r="B16" t="s">
        <v>689</v>
      </c>
      <c r="C16" s="235"/>
      <c r="D16" s="235"/>
      <c r="E16" s="879"/>
    </row>
    <row r="17" spans="1:6" ht="12.75">
      <c r="A17" s="878">
        <f>'Appendix A'!A101</f>
        <v>52</v>
      </c>
      <c r="C17" s="235" t="s">
        <v>690</v>
      </c>
      <c r="D17" s="235"/>
      <c r="E17" s="780">
        <v>0</v>
      </c>
      <c r="F17" s="334" t="s">
        <v>547</v>
      </c>
    </row>
    <row r="18" ht="12.75">
      <c r="A18" s="223"/>
    </row>
    <row r="19" spans="1:2" ht="12.75">
      <c r="A19" s="223"/>
      <c r="B19" t="s">
        <v>686</v>
      </c>
    </row>
    <row r="20" spans="1:6" ht="12.75">
      <c r="A20" s="878">
        <f>'Appendix A'!A140</f>
        <v>78</v>
      </c>
      <c r="C20" s="235" t="s">
        <v>328</v>
      </c>
      <c r="E20" s="780">
        <v>0</v>
      </c>
      <c r="F20" s="334" t="s">
        <v>545</v>
      </c>
    </row>
    <row r="21" ht="12.75">
      <c r="A21" s="223"/>
    </row>
    <row r="22" ht="12.75">
      <c r="C22" t="s">
        <v>355</v>
      </c>
    </row>
    <row r="23" spans="1:6" ht="12.75">
      <c r="A23" s="235">
        <f>+'Appendix A'!A148</f>
        <v>81</v>
      </c>
      <c r="B23" s="235">
        <f>+'Appendix A'!B148</f>
        <v>0</v>
      </c>
      <c r="C23" s="235" t="str">
        <f>+'Appendix A'!C148</f>
        <v>    Less LTD Interest on Securitization Bonds</v>
      </c>
      <c r="D23" s="235"/>
      <c r="E23" s="780">
        <v>0</v>
      </c>
      <c r="F23" s="334" t="s">
        <v>549</v>
      </c>
    </row>
    <row r="24" ht="12.75"/>
    <row r="25" ht="12.75">
      <c r="C25" t="s">
        <v>400</v>
      </c>
    </row>
    <row r="26" spans="1:6" ht="12.75">
      <c r="A26" s="235">
        <f>+'Appendix A'!A164</f>
        <v>92</v>
      </c>
      <c r="C26" s="235" t="str">
        <f>+'Appendix A'!C164</f>
        <v>      Less LTD on Securitization Bonds</v>
      </c>
      <c r="D26" s="235"/>
      <c r="E26" s="780">
        <v>0</v>
      </c>
      <c r="F26" s="334" t="s">
        <v>550</v>
      </c>
    </row>
    <row r="27" ht="12.75"/>
    <row r="28" ht="12.75"/>
    <row r="29" spans="3:5" ht="12.75">
      <c r="C29" s="2" t="s">
        <v>259</v>
      </c>
      <c r="D29" s="2"/>
      <c r="E29" s="2"/>
    </row>
    <row r="30" spans="4:6" ht="12.75">
      <c r="D30" s="222" t="s">
        <v>492</v>
      </c>
      <c r="E30" s="222"/>
      <c r="F30" s="222"/>
    </row>
    <row r="31" spans="4:6" ht="12.75">
      <c r="D31" s="222" t="s">
        <v>495</v>
      </c>
      <c r="E31" s="222"/>
      <c r="F31" s="222"/>
    </row>
    <row r="32" spans="4:6" ht="12.75">
      <c r="D32" s="222" t="s">
        <v>496</v>
      </c>
      <c r="E32" s="222"/>
      <c r="F32" s="222"/>
    </row>
    <row r="33" spans="4:6" ht="12.75">
      <c r="D33" s="222" t="s">
        <v>497</v>
      </c>
      <c r="E33" s="222"/>
      <c r="F33" s="222"/>
    </row>
    <row r="34" spans="4:6" ht="12.75">
      <c r="D34" s="222"/>
      <c r="E34" s="222"/>
      <c r="F34" s="222"/>
    </row>
    <row r="35" spans="4:6" ht="12.75">
      <c r="D35" s="222"/>
      <c r="E35" s="222"/>
      <c r="F35" s="222"/>
    </row>
    <row r="36" spans="4:6" ht="12.75">
      <c r="D36" s="222"/>
      <c r="E36" s="222"/>
      <c r="F36" s="222"/>
    </row>
    <row r="37" spans="4:6" ht="12.75">
      <c r="D37" s="222"/>
      <c r="E37" s="222"/>
      <c r="F37" s="222"/>
    </row>
    <row r="38" spans="4:6" ht="12.75">
      <c r="D38" s="222"/>
      <c r="E38" s="222"/>
      <c r="F38" s="222"/>
    </row>
    <row r="39" spans="4:6" ht="12.75">
      <c r="D39" s="222"/>
      <c r="E39" s="222"/>
      <c r="F39" s="222"/>
    </row>
    <row r="40" spans="4:6" ht="12.75">
      <c r="D40" s="222"/>
      <c r="E40" s="222"/>
      <c r="F40" s="222"/>
    </row>
    <row r="41" spans="4:6" ht="12.75">
      <c r="D41" s="222"/>
      <c r="E41" s="222"/>
      <c r="F41" s="222"/>
    </row>
    <row r="42" spans="4:6" ht="12.75">
      <c r="D42" s="222"/>
      <c r="E42" s="222"/>
      <c r="F42" s="222"/>
    </row>
    <row r="43" spans="4:6" ht="12.75">
      <c r="D43" s="222"/>
      <c r="E43" s="222"/>
      <c r="F43" s="222"/>
    </row>
    <row r="44" spans="4:6" ht="12.75">
      <c r="D44" s="222"/>
      <c r="E44" s="222"/>
      <c r="F44" s="222"/>
    </row>
    <row r="45" spans="4:6" ht="12.75">
      <c r="D45" s="222"/>
      <c r="E45" s="222"/>
      <c r="F45" s="222"/>
    </row>
    <row r="46" spans="4:6" ht="12.75">
      <c r="D46" s="222"/>
      <c r="E46" s="222"/>
      <c r="F46" s="222"/>
    </row>
    <row r="47" spans="4:6" ht="12.75">
      <c r="D47" s="222"/>
      <c r="E47" s="222"/>
      <c r="F47" s="222"/>
    </row>
    <row r="48" spans="4:6" ht="12.75">
      <c r="D48" s="222"/>
      <c r="E48" s="222"/>
      <c r="F48" s="222"/>
    </row>
    <row r="49" spans="4:6" ht="12.75">
      <c r="D49" s="222"/>
      <c r="E49" s="222"/>
      <c r="F49" s="222"/>
    </row>
    <row r="50" spans="4:6" ht="12.75">
      <c r="D50" s="222"/>
      <c r="E50" s="222"/>
      <c r="F50" s="222"/>
    </row>
    <row r="51" spans="4:6" ht="12.75">
      <c r="D51" s="222"/>
      <c r="E51" s="222"/>
      <c r="F51" s="222"/>
    </row>
    <row r="52" spans="4:6" ht="12.75">
      <c r="D52" s="222"/>
      <c r="E52" s="222"/>
      <c r="F52" s="222"/>
    </row>
    <row r="53" spans="4:6" ht="12.75">
      <c r="D53" s="222"/>
      <c r="E53" s="222"/>
      <c r="F53" s="222"/>
    </row>
  </sheetData>
  <sheetProtection/>
  <mergeCells count="2">
    <mergeCell ref="A3:F3"/>
    <mergeCell ref="A1:F1"/>
  </mergeCells>
  <printOptions/>
  <pageMargins left="0.75" right="0.75" top="1" bottom="1" header="0.5" footer="0.5"/>
  <pageSetup fitToHeight="1" fitToWidth="1" horizontalDpi="600" verticalDpi="600" orientation="portrait" scale="65" r:id="rId1"/>
  <headerFooter alignWithMargins="0">
    <oddHeader xml:space="preserve">&amp;R&amp;12Exhibit 1
Page &amp;P of &amp;N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